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kuma" sheetId="1" state="visible" r:id="rId1"/>
    <sheet xmlns:r="http://schemas.openxmlformats.org/officeDocument/2006/relationships" name="Karar" sheetId="2" state="visible" r:id="rId2"/>
    <sheet xmlns:r="http://schemas.openxmlformats.org/officeDocument/2006/relationships" name="Hedef" sheetId="3" state="visible" r:id="rId3"/>
    <sheet xmlns:r="http://schemas.openxmlformats.org/officeDocument/2006/relationships" name="Kriterler" sheetId="4" state="visible" r:id="rId4"/>
    <sheet xmlns:r="http://schemas.openxmlformats.org/officeDocument/2006/relationships" name="Secenekler" sheetId="5" state="visible" r:id="rId5"/>
    <sheet xmlns:r="http://schemas.openxmlformats.org/officeDocument/2006/relationships" name="Kapilar" sheetId="6" state="visible" r:id="rId6"/>
    <sheet xmlns:r="http://schemas.openxmlformats.org/officeDocument/2006/relationships" name="Puanlar" sheetId="7" state="visible" r:id="rId7"/>
    <sheet xmlns:r="http://schemas.openxmlformats.org/officeDocument/2006/relationships" name="Kanit" sheetId="8" state="visible" r:id="rId8"/>
    <sheet xmlns:r="http://schemas.openxmlformats.org/officeDocument/2006/relationships" name="Finans" sheetId="9" state="visible" r:id="rId9"/>
    <sheet xmlns:r="http://schemas.openxmlformats.org/officeDocument/2006/relationships" name="Hesap" sheetId="10" state="visible" r:id="rId10"/>
    <sheet xmlns:r="http://schemas.openxmlformats.org/officeDocument/2006/relationships" name="Duyarlilik" sheetId="11" state="visible" r:id="rId11"/>
    <sheet xmlns:r="http://schemas.openxmlformats.org/officeDocument/2006/relationships" name="Deneyler" sheetId="12" state="visible" r:id="rId12"/>
    <sheet xmlns:r="http://schemas.openxmlformats.org/officeDocument/2006/relationships" name="Tani_Sorulari" sheetId="13" state="visible" r:id="rId13"/>
    <sheet xmlns:r="http://schemas.openxmlformats.org/officeDocument/2006/relationships" name="Guven" sheetId="14" state="visible" r:id="rId14"/>
  </sheets>
  <definedNames/>
  <calcPr calcId="124519" fullCalcOnLoad="1"/>
</workbook>
</file>

<file path=xl/styles.xml><?xml version="1.0" encoding="utf-8"?>
<styleSheet xmlns="http://schemas.openxmlformats.org/spreadsheetml/2006/main">
  <numFmts count="4">
    <numFmt numFmtId="164" formatCode="#,##0;-#,##0;-"/>
    <numFmt numFmtId="165" formatCode="0.0"/>
    <numFmt numFmtId="166" formatCode="0.000"/>
    <numFmt numFmtId="167" formatCode="0.000000000"/>
  </numFmts>
  <fonts count="8">
    <font>
      <name val="Calibri"/>
      <family val="2"/>
      <color theme="1"/>
      <sz val="11"/>
      <scheme val="minor"/>
    </font>
    <font>
      <name val="Arial"/>
      <b val="1"/>
      <sz val="14"/>
    </font>
    <font>
      <name val="Arial"/>
      <sz val="10"/>
    </font>
    <font>
      <name val="Arial"/>
      <i val="1"/>
      <color rgb="00555555"/>
      <sz val="9"/>
    </font>
    <font>
      <name val="Arial"/>
      <color rgb="00000000"/>
      <sz val="10"/>
    </font>
    <font>
      <name val="Arial"/>
      <color rgb="000000FF"/>
      <sz val="10"/>
    </font>
    <font>
      <name val="Arial"/>
      <b val="1"/>
      <color rgb="00FFFFFF"/>
      <sz val="10"/>
    </font>
    <font>
      <name val="Arial"/>
      <b val="1"/>
      <sz val="10"/>
    </font>
  </fonts>
  <fills count="4">
    <fill>
      <patternFill/>
    </fill>
    <fill>
      <patternFill patternType="gray125"/>
    </fill>
    <fill>
      <patternFill patternType="solid">
        <fgColor rgb="00FFF2CC"/>
      </patternFill>
    </fill>
    <fill>
      <patternFill patternType="solid">
        <fgColor rgb="0015171C"/>
      </patternFill>
    </fill>
  </fills>
  <borders count="1">
    <border>
      <left/>
      <right/>
      <top/>
      <bottom/>
      <diagonal/>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6" fillId="3" borderId="0" applyAlignment="1" pivotButton="0" quotePrefix="0" xfId="0">
      <alignment vertical="center" wrapText="1"/>
    </xf>
    <xf numFmtId="1" fontId="4" fillId="0" borderId="0" pivotButton="0" quotePrefix="0" xfId="0"/>
    <xf numFmtId="0" fontId="4" fillId="0" borderId="0" applyAlignment="1" pivotButton="0" quotePrefix="0" xfId="0">
      <alignment vertical="top" wrapText="1"/>
    </xf>
    <xf numFmtId="0" fontId="4" fillId="0" borderId="0" pivotButton="0" quotePrefix="0" xfId="0"/>
    <xf numFmtId="165" fontId="4" fillId="0" borderId="0" pivotButton="0" quotePrefix="0" xfId="0"/>
    <xf numFmtId="2" fontId="4" fillId="0" borderId="0" pivotButton="0" quotePrefix="0" xfId="0"/>
    <xf numFmtId="164" fontId="4" fillId="0" borderId="0" pivotButton="0" quotePrefix="0" xfId="0"/>
    <xf numFmtId="164" fontId="5" fillId="2" borderId="0" pivotButton="0" quotePrefix="0" xfId="0"/>
    <xf numFmtId="2" fontId="5" fillId="2" borderId="0" pivotButton="0" quotePrefix="0" xfId="0"/>
    <xf numFmtId="165" fontId="5" fillId="0" borderId="0" pivotButton="0" quotePrefix="0" xfId="0"/>
    <xf numFmtId="0" fontId="7" fillId="0" borderId="0" pivotButton="0" quotePrefix="0" xfId="0"/>
    <xf numFmtId="164" fontId="5" fillId="0" borderId="0" pivotButton="0" quotePrefix="0" xfId="0"/>
    <xf numFmtId="0" fontId="5" fillId="0" borderId="0" applyAlignment="1" pivotButton="0" quotePrefix="0" xfId="0">
      <alignment vertical="top" wrapText="1"/>
    </xf>
    <xf numFmtId="0" fontId="5" fillId="0" borderId="0" pivotButton="0" quotePrefix="0" xfId="0"/>
    <xf numFmtId="0" fontId="6" fillId="3" borderId="0" pivotButton="0" quotePrefix="0" xfId="0"/>
    <xf numFmtId="0" fontId="6" fillId="3" borderId="0" applyAlignment="1" pivotButton="0" quotePrefix="0" xfId="0">
      <alignment horizontal="center"/>
    </xf>
    <xf numFmtId="1" fontId="5" fillId="0" borderId="0" pivotButton="0" quotePrefix="0" xfId="0"/>
    <xf numFmtId="166" fontId="5" fillId="0" borderId="0" pivotButton="0" quotePrefix="0" xfId="0"/>
    <xf numFmtId="167" fontId="4" fillId="0" borderId="0" pivotButton="0" quotePrefix="0" xfId="0"/>
    <xf numFmtId="166" fontId="4" fillId="0" borderId="0" pivotButton="0" quotePrefix="0" xfId="0"/>
    <xf numFmtId="164"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4"/>
  <sheetViews>
    <sheetView workbookViewId="0">
      <selection activeCell="A1" sqref="A1"/>
    </sheetView>
  </sheetViews>
  <sheetFormatPr baseColWidth="8" defaultRowHeight="15"/>
  <cols>
    <col width="120" customWidth="1" min="1" max="1"/>
  </cols>
  <sheetData>
    <row r="1">
      <c r="A1" s="1" t="inlineStr">
        <is>
          <t>Proje seçim şablonu</t>
        </is>
      </c>
    </row>
    <row r="3">
      <c r="A3" s="2" t="inlineStr">
        <is>
          <t>Bu çalışma kitabı, ücretli reklam olmadan altı ayda nakit hedefi için ticari seçenekleri karşılaştırır.</t>
        </is>
      </c>
    </row>
    <row r="4">
      <c r="A4" s="2" t="inlineStr">
        <is>
          <t>Değerlendirme birimi proje değil ticari seçenektir: proje × müşteri × iş × tetikleyici × teklif ve fiyat × kanal × ilk satılabilir kapsam.</t>
        </is>
      </c>
    </row>
    <row r="5">
      <c r="A5" s="2" t="inlineStr"/>
    </row>
    <row r="6">
      <c r="A6" s="2" t="inlineStr">
        <is>
          <t>Renkler: mavi yazı girdi hücresidir, değiştirilebilir. Siyah yazı formüldür, dokunulmaz. Sarı dolgulu hücreler ana kararları belirleyen varsayımlardır.</t>
        </is>
      </c>
    </row>
    <row r="7">
      <c r="A7" s="2" t="inlineStr"/>
    </row>
    <row r="8">
      <c r="A8" s="2" t="inlineStr">
        <is>
          <t>Sayfalar:</t>
        </is>
      </c>
    </row>
    <row r="9">
      <c r="A9" s="2" t="inlineStr">
        <is>
          <t>Hedef: hedef tutar, kur, haftalık saat, eşik saat ücreti, karar eşikleri ve kanıt ölçeği.</t>
        </is>
      </c>
    </row>
    <row r="10">
      <c r="A10" s="2" t="inlineStr">
        <is>
          <t>Kriterler: altı kategori ve 26 kriter; kategori ağırlıkları toplamı 100 olmalı. Kategoriye ek puan verilmez; ağırlık kriterlere dağıtılır.</t>
        </is>
      </c>
    </row>
    <row r="11">
      <c r="A11" s="2" t="inlineStr">
        <is>
          <t>Secenekler: her seçeneğin müşterisi, işi, teklifi, fiyatı ve kanalı.</t>
        </is>
      </c>
    </row>
    <row r="12">
      <c r="A12" s="2" t="inlineStr">
        <is>
          <t>Kapilar: sekiz telafi edilemez koşul. Biri 'kaldi' ise seçenek sıralamaya girmez; bilinmeyen koşul 'test' yazılır.</t>
        </is>
      </c>
    </row>
    <row r="13">
      <c r="A13" s="2" t="inlineStr">
        <is>
          <t>Puanlar: her kriter için 0-5 puan. C1, C2 ve D1 Finans sayfasından formülle hesaplanır. Bilinmeyen puan boş bırakılır; sıfır yazılmaz.</t>
        </is>
      </c>
    </row>
    <row r="14">
      <c r="A14" s="2" t="inlineStr">
        <is>
          <t>Kanit: her puanın kanıt kodu (0-4). Guven: kanıt kodunun güven katsayısı (formül).</t>
        </is>
      </c>
    </row>
    <row r="15">
      <c r="A15" s="2" t="inlineStr">
        <is>
          <t>Finans: altı aylık tahsilat, maliyet ve kurucu saati; kötü, baz ve iyi senaryo. Puanla toplanmaz.</t>
        </is>
      </c>
    </row>
    <row r="16">
      <c r="A16" s="2" t="inlineStr">
        <is>
          <t>Hesap: uygunluk puanı, kanıtla düzeltilmiş puan, stratejik puan, karar sınıfı, yatırım sırası ve öğrenme sırası.</t>
        </is>
      </c>
    </row>
    <row r="17">
      <c r="A17" s="2" t="inlineStr">
        <is>
          <t>Karar: yatırım sırasına göre dizilmiş karar ekranı.</t>
        </is>
      </c>
    </row>
    <row r="18">
      <c r="A18" s="2" t="inlineStr">
        <is>
          <t>Duyarlilik: beş ağırlık setinde puan ve sıra; sıra çok oynuyorsa karar ağırlığa bağlıdır, veri toplanmalıdır.</t>
        </is>
      </c>
    </row>
    <row r="19">
      <c r="A19" s="2" t="inlineStr">
        <is>
          <t>Deneyler: her seçeneğin sıradaki testi; sonuç geldiğinde ilgili puan ve kanıt kodu güncellenir.</t>
        </is>
      </c>
    </row>
    <row r="20">
      <c r="A20" s="2" t="inlineStr">
        <is>
          <t>Tani_Sorulari: puanlanmayan soru kütüphanesi.</t>
        </is>
      </c>
    </row>
    <row r="21">
      <c r="A21" s="2" t="inlineStr"/>
    </row>
    <row r="22">
      <c r="A22" s="2" t="inlineStr">
        <is>
          <t>Kullanım sırası: (1) Hedef sayfasını kendi rakamlarınızla doldurun. (2) Ağırlıkları seçeneklere bakmadan belirleyin. (3) Bildiğiniz gerçekle çelişen puanı ve kanıt kodunu düzeltin; özellikle B1 (ilk alıcılara doğrudan erişim). (4) Karar sayfasına bakın. (5) Kısa listeden bir işi seçin, deneyini yapın, sonucu işleyin.</t>
        </is>
      </c>
    </row>
    <row r="23">
      <c r="A23" s="2" t="inlineStr"/>
    </row>
    <row r="24">
      <c r="A24" s="2" t="inlineStr">
        <is>
          <t>Puan bir başarı olasılığı değildir. Rakamların çoğu kaynak belgelerdeki varsayımlardır; hiçbir seçenekte ödeyen müşteri kanıtı yoktur.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O13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9" customWidth="1" min="2" max="2"/>
    <col width="44" customWidth="1" min="3" max="3"/>
    <col width="34" customWidth="1" min="4" max="4"/>
    <col width="14" customWidth="1" min="5" max="5"/>
    <col width="8" customWidth="1" min="6" max="6"/>
    <col width="9" customWidth="1" min="7" max="7"/>
    <col width="11" customWidth="1" min="8" max="8"/>
    <col width="9" customWidth="1" min="9" max="9"/>
    <col width="10" customWidth="1" min="10" max="10"/>
    <col width="14" customWidth="1" min="11" max="11"/>
    <col width="12" customWidth="1" min="12" max="12"/>
    <col width="12" customWidth="1" min="13" max="13"/>
    <col width="12" customWidth="1" min="14" max="14"/>
    <col width="60" customWidth="1" min="15" max="15"/>
  </cols>
  <sheetData>
    <row r="1">
      <c r="A1" s="1" t="inlineStr">
        <is>
          <t>Karar ekranı</t>
        </is>
      </c>
    </row>
    <row r="2">
      <c r="A2" s="3" t="inlineStr">
        <is>
          <t>Yatırım sırasına göre. Kapıda kalan seçenekler listede yer almaz. Bütün hücreler formüldür.</t>
        </is>
      </c>
    </row>
    <row r="4" ht="44" customHeight="1">
      <c r="A4" s="4" t="inlineStr">
        <is>
          <t>Sıra</t>
        </is>
      </c>
      <c r="B4" s="4" t="inlineStr">
        <is>
          <t>Satır</t>
        </is>
      </c>
      <c r="C4" s="4" t="inlineStr">
        <is>
          <t>Seçenek</t>
        </is>
      </c>
      <c r="D4" s="4" t="inlineStr">
        <is>
          <t>Proje</t>
        </is>
      </c>
      <c r="E4" s="4" t="inlineStr">
        <is>
          <t>Karar</t>
        </is>
      </c>
      <c r="F4" s="4" t="inlineStr">
        <is>
          <t>Kapı</t>
        </is>
      </c>
      <c r="G4" s="4" t="inlineStr">
        <is>
          <t>Uygunluk puanı</t>
        </is>
      </c>
      <c r="H4" s="4" t="inlineStr">
        <is>
          <t>Düzeltilmiş puan</t>
        </is>
      </c>
      <c r="I4" s="4" t="inlineStr">
        <is>
          <t>Ortalama kanıt</t>
        </is>
      </c>
      <c r="J4" s="4" t="inlineStr">
        <is>
          <t>Stratejik puan</t>
        </is>
      </c>
      <c r="K4" s="4" t="inlineStr">
        <is>
          <t>6 ay net nakit (baz)</t>
        </is>
      </c>
      <c r="L4" s="4" t="inlineStr">
        <is>
          <t>Saat başı nakit</t>
        </is>
      </c>
      <c r="M4" s="4" t="inlineStr">
        <is>
          <t>İlk tahsilat en erken (gün)</t>
        </is>
      </c>
      <c r="N4" s="4" t="inlineStr">
        <is>
          <t>Öğrenme sırası</t>
        </is>
      </c>
      <c r="O4" s="4" t="inlineStr">
        <is>
          <t>Sıradaki deneyin varsayımı</t>
        </is>
      </c>
    </row>
    <row r="5">
      <c r="A5" s="5" t="n">
        <v>1</v>
      </c>
      <c r="B5" s="5">
        <f>IFERROR(MATCH(A5,Hesap!$Q$5:$Q$136,0),"")</f>
        <v>13</v>
      </c>
      <c r="C5" s="6" t="str">
        <f>IF(B5="","",INDEX(Hesap!$B$5:$B$136,B5))</f>
        <v>90 günlük dijital satış sistemi paketi (çok şubeli zincir)</v>
      </c>
      <c r="D5" s="6" t="str">
        <f>IF(B5="","",INDEX(Hesap!$C$5:$C$136,B5))</f>
        <v>Kahve zinciri için dijital dönüşüm danışmanlığı</v>
      </c>
      <c r="E5" s="7" t="str">
        <f>IF(B5="","",INDEX(Hesap!$N$5:$N$136,B5))</f>
        <v>Önce test et</v>
      </c>
      <c r="F5" s="7" t="str">
        <f>IF(B5="","",INDEX(Hesap!$D$5:$D$136,B5))</f>
        <v>test</v>
      </c>
      <c r="G5" s="8">
        <f>IF(B5="","",INDEX(Hesap!$E$5:$E$136,B5))</f>
        <v>52.4</v>
      </c>
      <c r="H5" s="8">
        <f>IF(B5="","",INDEX(Hesap!$G$5:$G$136,B5))</f>
        <v>23.96</v>
      </c>
      <c r="I5" s="9">
        <f>IF(B5="","",INDEX(Hesap!$H$5:$H$136,B5))</f>
        <v>0.68</v>
      </c>
      <c r="J5" s="8">
        <f>IF(B5="","",INDEX(Hesap!$I$5:$I$136,B5))</f>
        <v>45</v>
      </c>
      <c r="K5" s="10">
        <f>IF(B5="","",INDEX(Hesap!$J$5:$J$136,B5))</f>
        <v>132000</v>
      </c>
      <c r="L5" s="10">
        <f>IF(B5="","",INDEX(Finans!$AG$5:$AG$136,B5))</f>
        <v>464.7887323943662</v>
      </c>
      <c r="M5" s="5">
        <f>IF(B5="","",INDEX(Finans!$K$5:$K$136,B5))</f>
        <v>14</v>
      </c>
      <c r="N5" s="5">
        <f>IF(B5="","",INDEX(Hesap!$T$5:$T$136,B5))</f>
        <v>16</v>
      </c>
      <c r="O5" s="6" t="str">
        <f>IF(B5="","",INDEX(Deneyler!$C$5:$C$136,B5))</f>
        <v>Genel müdür 180.000 TL sabit fiyatı ve kabul ölçütlü üç taksiti onaylar.</v>
      </c>
    </row>
    <row r="6">
      <c r="A6" s="5" t="n">
        <v>2</v>
      </c>
      <c r="B6" s="5">
        <f>IFERROR(MATCH(A6,Hesap!$Q$5:$Q$136,0),"")</f>
        <v>19</v>
      </c>
      <c r="C6" s="6" t="str">
        <f>IF(B6="","",INDEX(Hesap!$B$5:$B$136,B6))</f>
        <v>Titan Programı: 10 haftalık canlı kohort</v>
      </c>
      <c r="D6" s="6" t="str">
        <f>IF(B6="","",INDEX(Hesap!$C$5:$C$136,B6))</f>
        <v>Titanlar (e-ticaret eğitimi ve danışmanlık)</v>
      </c>
      <c r="E6" s="7" t="str">
        <f>IF(B6="","",INDEX(Hesap!$N$5:$N$136,B6))</f>
        <v>Önce test et</v>
      </c>
      <c r="F6" s="7" t="str">
        <f>IF(B6="","",INDEX(Hesap!$D$5:$D$136,B6))</f>
        <v>test</v>
      </c>
      <c r="G6" s="8">
        <f>IF(B6="","",INDEX(Hesap!$E$5:$E$136,B6))</f>
        <v>58.6</v>
      </c>
      <c r="H6" s="8">
        <f>IF(B6="","",INDEX(Hesap!$G$5:$G$136,B6))</f>
        <v>22.58</v>
      </c>
      <c r="I6" s="9">
        <f>IF(B6="","",INDEX(Hesap!$H$5:$H$136,B6))</f>
        <v>0.41</v>
      </c>
      <c r="J6" s="8">
        <f>IF(B6="","",INDEX(Hesap!$I$5:$I$136,B6))</f>
        <v>50</v>
      </c>
      <c r="K6" s="10">
        <f>IF(B6="","",INDEX(Hesap!$J$5:$J$136,B6))</f>
        <v>74900</v>
      </c>
      <c r="L6" s="10">
        <f>IF(B6="","",INDEX(Finans!$AG$5:$AG$136,B6))</f>
        <v>262.9915730337079</v>
      </c>
      <c r="M6" s="5">
        <f>IF(B6="","",INDEX(Finans!$K$5:$K$136,B6))</f>
        <v>14</v>
      </c>
      <c r="N6" s="5">
        <f>IF(B6="","",INDEX(Hesap!$T$5:$T$136,B6))</f>
        <v>106</v>
      </c>
      <c r="O6" s="6" t="str">
        <f>IF(B6="","",INDEX(Deneyler!$C$5:$C$136,B6))</f>
        <v>Webinar katılımcıları ve görüşme yaptığı satıcılar, 10 haftalık programa 5.000 ₺ + KDV ön ödeme yapar.</v>
      </c>
    </row>
    <row r="7">
      <c r="A7" s="5" t="n">
        <v>3</v>
      </c>
      <c r="B7" s="5">
        <f>IFERROR(MATCH(A7,Hesap!$Q$5:$Q$136,0),"")</f>
        <v>46</v>
      </c>
      <c r="C7" s="6" t="str">
        <f>IF(B7="","",INDEX(Hesap!$B$5:$B$136,B7))</f>
        <v>Sabit fiyatlı kanıtlı MVP paketi (S/M/L)</v>
      </c>
      <c r="D7" s="6" t="str">
        <f>IF(B7="","",INDEX(Hesap!$C$5:$C$136,B7))</f>
        <v>software-factory (yapay zekâ destekli yazılım üretim hattı hizmeti)</v>
      </c>
      <c r="E7" s="7" t="str">
        <f>IF(B7="","",INDEX(Hesap!$N$5:$N$136,B7))</f>
        <v>Önce test et</v>
      </c>
      <c r="F7" s="7" t="str">
        <f>IF(B7="","",INDEX(Hesap!$D$5:$D$136,B7))</f>
        <v>test</v>
      </c>
      <c r="G7" s="8">
        <f>IF(B7="","",INDEX(Hesap!$E$5:$E$136,B7))</f>
        <v>54.2</v>
      </c>
      <c r="H7" s="8">
        <f>IF(B7="","",INDEX(Hesap!$G$5:$G$136,B7))</f>
        <v>21.34</v>
      </c>
      <c r="I7" s="9">
        <f>IF(B7="","",INDEX(Hesap!$H$5:$H$136,B7))</f>
        <v>0.4</v>
      </c>
      <c r="J7" s="8">
        <f>IF(B7="","",INDEX(Hesap!$I$5:$I$136,B7))</f>
        <v>55</v>
      </c>
      <c r="K7" s="10">
        <f>IF(B7="","",INDEX(Hesap!$J$5:$J$136,B7))</f>
        <v>129000</v>
      </c>
      <c r="L7" s="10">
        <f>IF(B7="","",INDEX(Finans!$AG$5:$AG$136,B7))</f>
        <v>255.4455445544554</v>
      </c>
      <c r="M7" s="5">
        <f>IF(B7="","",INDEX(Finans!$K$5:$K$136,B7))</f>
        <v>45</v>
      </c>
      <c r="N7" s="5">
        <f>IF(B7="","",INDEX(Hesap!$T$5:$T$136,B7))</f>
        <v>86</v>
      </c>
      <c r="O7" s="6" t="str">
        <f>IF(B7="","",INDEX(Deneyler!$C$5:$C$136,B7))</f>
        <v>CTO'suz girişim kurucusu, kanıt paketli sabit fiyatlı S paketi için maliyetine bile olsa depozito öder</v>
      </c>
    </row>
    <row r="8">
      <c r="A8" s="5" t="n">
        <v>4</v>
      </c>
      <c r="B8" s="5">
        <f>IFERROR(MATCH(A8,Hesap!$Q$5:$Q$136,0),"")</f>
        <v>16</v>
      </c>
      <c r="C8" s="6" t="str">
        <f>IF(B8="","",INDEX(Hesap!$B$5:$B$136,B8))</f>
        <v>Pro yıllık ve Kurucu Paketi (satıcıya yazılım)</v>
      </c>
      <c r="D8" s="6" t="str">
        <f>IF(B8="","",INDEX(Hesap!$C$5:$C$136,B8))</f>
        <v>Stratejik Kâr Pusulası (e-ticaret kârlılık aracı)</v>
      </c>
      <c r="E8" s="7" t="str">
        <f>IF(B8="","",INDEX(Hesap!$N$5:$N$136,B8))</f>
        <v>Değiştir</v>
      </c>
      <c r="F8" s="7" t="str">
        <f>IF(B8="","",INDEX(Hesap!$D$5:$D$136,B8))</f>
        <v>test</v>
      </c>
      <c r="G8" s="8">
        <f>IF(B8="","",INDEX(Hesap!$E$5:$E$136,B8))</f>
        <v>59.6</v>
      </c>
      <c r="H8" s="8">
        <f>IF(B8="","",INDEX(Hesap!$G$5:$G$136,B8))</f>
        <v>25.2</v>
      </c>
      <c r="I8" s="9">
        <f>IF(B8="","",INDEX(Hesap!$H$5:$H$136,B8))</f>
        <v>0.66</v>
      </c>
      <c r="J8" s="8">
        <f>IF(B8="","",INDEX(Hesap!$I$5:$I$136,B8))</f>
        <v>60</v>
      </c>
      <c r="K8" s="10">
        <f>IF(B8="","",INDEX(Hesap!$J$5:$J$136,B8))</f>
        <v>-9420</v>
      </c>
      <c r="L8" s="10">
        <f>IF(B8="","",INDEX(Finans!$AG$5:$AG$136,B8))</f>
        <v>-84.35820895522387</v>
      </c>
      <c r="M8" s="5">
        <f>IF(B8="","",INDEX(Finans!$K$5:$K$136,B8))</f>
        <v>35</v>
      </c>
      <c r="N8" s="5">
        <f>IF(B8="","",INDEX(Hesap!$T$5:$T$136,B8))</f>
        <v>59</v>
      </c>
      <c r="O8" s="6" t="str">
        <f>IF(B8="","",INDEX(Deneyler!$C$5:$C$136,B8))</f>
        <v>Ücretsiz araçlar bolken satıcılar toplu Excel ve oran bildirimi için 499 TL/yıl ya da 999 TL tek sefer ödeyecek</v>
      </c>
    </row>
    <row r="9">
      <c r="A9" s="5" t="n">
        <v>5</v>
      </c>
      <c r="B9" s="5">
        <f>IFERROR(MATCH(A9,Hesap!$Q$5:$Q$136,0),"")</f>
        <v>130</v>
      </c>
      <c r="C9" s="6" t="str">
        <f>IF(B9="","",INDEX(Hesap!$B$5:$B$136,B9))</f>
        <v>Günlük ücretli danışmanlık ya da yazılım işi (aynı saatlerde)</v>
      </c>
      <c r="D9" s="6" t="str">
        <f>IF(B9="","",INDEX(Hesap!$C$5:$C$136,B9))</f>
        <v>Baz seçenekler: günlük danışmanlık, kod satışı, hibe başvurusu</v>
      </c>
      <c r="E9" s="7" t="str">
        <f>IF(B9="","",INDEX(Hesap!$N$5:$N$136,B9))</f>
        <v>Değiştir</v>
      </c>
      <c r="F9" s="7" t="str">
        <f>IF(B9="","",INDEX(Hesap!$D$5:$D$136,B9))</f>
        <v>test</v>
      </c>
      <c r="G9" s="8">
        <f>IF(B9="","",INDEX(Hesap!$E$5:$E$136,B9))</f>
        <v>56.4</v>
      </c>
      <c r="H9" s="8">
        <f>IF(B9="","",INDEX(Hesap!$G$5:$G$136,B9))</f>
        <v>24.44</v>
      </c>
      <c r="I9" s="9">
        <f>IF(B9="","",INDEX(Hesap!$H$5:$H$136,B9))</f>
        <v>0.64</v>
      </c>
      <c r="J9" s="8">
        <f>IF(B9="","",INDEX(Hesap!$I$5:$I$136,B9))</f>
        <v>45</v>
      </c>
      <c r="K9" s="10">
        <f>IF(B9="","",INDEX(Hesap!$J$5:$J$136,B9))</f>
        <v>68400</v>
      </c>
      <c r="L9" s="10">
        <f>IF(B9="","",INDEX(Finans!$AG$5:$AG$136,B9))</f>
        <v>367.741935483871</v>
      </c>
      <c r="M9" s="5">
        <f>IF(B9="","",INDEX(Finans!$K$5:$K$136,B9))</f>
        <v>30</v>
      </c>
      <c r="N9" s="5">
        <f>IF(B9="","",INDEX(Hesap!$T$5:$T$136,B9))</f>
        <v>1</v>
      </c>
      <c r="O9" s="6" t="str">
        <f>IF(B9="","",INDEX(Deneyler!$C$5:$C$136,B9))</f>
        <v>İki mevcut ilişkiden en az biri 5 günlük sabit çıktılı paketi 4.000-6.000 ₺/gün ile satın alır</v>
      </c>
    </row>
    <row r="10">
      <c r="A10" s="5" t="n">
        <v>6</v>
      </c>
      <c r="B10" s="5">
        <f>IFERROR(MATCH(A10,Hesap!$Q$5:$Q$136,0),"")</f>
        <v>1</v>
      </c>
      <c r="C10" s="6" t="str">
        <f>IF(B10="","",INDEX(Hesap!$B$5:$B$136,B10))</f>
        <v>Kafe aboneliği: kurulum dahil Restaurant planı</v>
      </c>
      <c r="D10" s="6" t="str">
        <f>IF(B10="","",INDEX(Hesap!$C$5:$C$136,B10))</f>
        <v>Zabuno (QR menü ve sipariş yazılımı)</v>
      </c>
      <c r="E10" s="7" t="str">
        <f>IF(B10="","",INDEX(Hesap!$N$5:$N$136,B10))</f>
        <v>Değiştir</v>
      </c>
      <c r="F10" s="7" t="str">
        <f>IF(B10="","",INDEX(Hesap!$D$5:$D$136,B10))</f>
        <v>test</v>
      </c>
      <c r="G10" s="8">
        <f>IF(B10="","",INDEX(Hesap!$E$5:$E$136,B10))</f>
        <v>57</v>
      </c>
      <c r="H10" s="8">
        <f>IF(B10="","",INDEX(Hesap!$G$5:$G$136,B10))</f>
        <v>23.5</v>
      </c>
      <c r="I10" s="9">
        <f>IF(B10="","",INDEX(Hesap!$H$5:$H$136,B10))</f>
        <v>0.53</v>
      </c>
      <c r="J10" s="8">
        <f>IF(B10="","",INDEX(Hesap!$I$5:$I$136,B10))</f>
        <v>60</v>
      </c>
      <c r="K10" s="10">
        <f>IF(B10="","",INDEX(Hesap!$J$5:$J$136,B10))</f>
        <v>-53512</v>
      </c>
      <c r="L10" s="10">
        <f>IF(B10="","",INDEX(Finans!$AG$5:$AG$136,B10))</f>
        <v>-452.7241962774958</v>
      </c>
      <c r="M10" s="5">
        <f>IF(B10="","",INDEX(Finans!$K$5:$K$136,B10))</f>
        <v>45</v>
      </c>
      <c r="N10" s="5">
        <f>IF(B10="","",INDEX(Hesap!$T$5:$T$136,B10))</f>
        <v>82</v>
      </c>
      <c r="O10" s="6" t="str">
        <f>IF(B10="","",INDEX(Deneyler!$C$5:$C$136,B10))</f>
        <v>Kafe sahibi, ücretsiz ay sonunda 499 TL/ay Restaurant planı için havale yapar.</v>
      </c>
    </row>
    <row r="11">
      <c r="A11" s="5" t="n">
        <v>7</v>
      </c>
      <c r="B11" s="5">
        <f>IFERROR(MATCH(A11,Hesap!$Q$5:$Q$136,0),"")</f>
        <v>20</v>
      </c>
      <c r="C11" s="6" t="str">
        <f>IF(B11="","",INDEX(Hesap!$B$5:$B$136,B11))</f>
        <v>Kâr teşhisi: Giriş ve Strateji danışmanlığı</v>
      </c>
      <c r="D11" s="6" t="str">
        <f>IF(B11="","",INDEX(Hesap!$C$5:$C$136,B11))</f>
        <v>Titanlar (e-ticaret eğitimi ve danışmanlık)</v>
      </c>
      <c r="E11" s="7" t="str">
        <f>IF(B11="","",INDEX(Hesap!$N$5:$N$136,B11))</f>
        <v>Değiştir</v>
      </c>
      <c r="F11" s="7" t="str">
        <f>IF(B11="","",INDEX(Hesap!$D$5:$D$136,B11))</f>
        <v>test</v>
      </c>
      <c r="G11" s="8">
        <f>IF(B11="","",INDEX(Hesap!$E$5:$E$136,B11))</f>
        <v>62</v>
      </c>
      <c r="H11" s="8">
        <f>IF(B11="","",INDEX(Hesap!$G$5:$G$136,B11))</f>
        <v>23.24</v>
      </c>
      <c r="I11" s="9">
        <f>IF(B11="","",INDEX(Hesap!$H$5:$H$136,B11))</f>
        <v>0.36</v>
      </c>
      <c r="J11" s="8">
        <f>IF(B11="","",INDEX(Hesap!$I$5:$I$136,B11))</f>
        <v>45</v>
      </c>
      <c r="K11" s="10">
        <f>IF(B11="","",INDEX(Hesap!$J$5:$J$136,B11))</f>
        <v>17700</v>
      </c>
      <c r="L11" s="10">
        <f>IF(B11="","",INDEX(Finans!$AG$5:$AG$136,B11))</f>
        <v>223.7673830594185</v>
      </c>
      <c r="M11" s="5">
        <f>IF(B11="","",INDEX(Finans!$K$5:$K$136,B11))</f>
        <v>10</v>
      </c>
      <c r="N11" s="5">
        <f>IF(B11="","",INDEX(Hesap!$T$5:$T$136,B11))</f>
        <v>37</v>
      </c>
      <c r="O11" s="6" t="str">
        <f>IF(B11="","",INDEX(Deneyler!$C$5:$C$136,B11))</f>
        <v>Cirosu olup kâr edemeyen satıcı, kendi ürününün kâr hesabı sonrası 2.500 ₺ + KDV Giriş görüşmesi için ödeme yapar.</v>
      </c>
    </row>
    <row r="12">
      <c r="A12" s="5" t="n">
        <v>8</v>
      </c>
      <c r="B12" s="5">
        <f>IFERROR(MATCH(A12,Hesap!$Q$5:$Q$136,0),"")</f>
        <v>26</v>
      </c>
      <c r="C12" s="6" t="str">
        <f>IF(B12="","",INDEX(Hesap!$B$5:$B$136,B12))</f>
        <v>Fizibilite paketi: rakip analizi, kârlılık modeli, simülatör</v>
      </c>
      <c r="D12" s="6" t="str">
        <f>IF(B12="","",INDEX(Hesap!$C$5:$C$136,B12))</f>
        <v>Üretici KOBİ dijital başlangıç paketi</v>
      </c>
      <c r="E12" s="7" t="str">
        <f>IF(B12="","",INDEX(Hesap!$N$5:$N$136,B12))</f>
        <v>Değiştir</v>
      </c>
      <c r="F12" s="7" t="str">
        <f>IF(B12="","",INDEX(Hesap!$D$5:$D$136,B12))</f>
        <v>test</v>
      </c>
      <c r="G12" s="8">
        <f>IF(B12="","",INDEX(Hesap!$E$5:$E$136,B12))</f>
        <v>57</v>
      </c>
      <c r="H12" s="8">
        <f>IF(B12="","",INDEX(Hesap!$G$5:$G$136,B12))</f>
        <v>23.14</v>
      </c>
      <c r="I12" s="9">
        <f>IF(B12="","",INDEX(Hesap!$H$5:$H$136,B12))</f>
        <v>0.51</v>
      </c>
      <c r="J12" s="8">
        <f>IF(B12="","",INDEX(Hesap!$I$5:$I$136,B12))</f>
        <v>50</v>
      </c>
      <c r="K12" s="10">
        <f>IF(B12="","",INDEX(Hesap!$J$5:$J$136,B12))</f>
        <v>-7800</v>
      </c>
      <c r="L12" s="10">
        <f>IF(B12="","",INDEX(Finans!$AG$5:$AG$136,B12))</f>
        <v>-47.5609756097561</v>
      </c>
      <c r="M12" s="5">
        <f>IF(B12="","",INDEX(Finans!$K$5:$K$136,B12))</f>
        <v>35</v>
      </c>
      <c r="N12" s="5">
        <f>IF(B12="","",INDEX(Hesap!$T$5:$T$136,B12))</f>
        <v>31</v>
      </c>
      <c r="O12" s="6" t="str">
        <f>IF(B12="","",INDEX(Deneyler!$C$5:$C$136,B12))</f>
        <v>Pazar yerinde zarar eden üretici, kendi maliyetleriyle gösterilen başabaş hesabı için 35.000 ₺ öder.</v>
      </c>
    </row>
    <row r="13">
      <c r="A13" s="5" t="n">
        <v>9</v>
      </c>
      <c r="B13" s="5">
        <f>IFERROR(MATCH(A13,Hesap!$Q$5:$Q$136,0),"")</f>
        <v>22</v>
      </c>
      <c r="C13" s="6" t="str">
        <f>IF(B13="","",INDEX(Hesap!$B$5:$B$136,B13))</f>
        <v>İhracat paketi: sabit kapsamlı 3 dilli üretici sitesi</v>
      </c>
      <c r="D13" s="6" t="str">
        <f>IF(B13="","",INDEX(Hesap!$C$5:$C$136,B13))</f>
        <v>Kurumsal site hizmeti (KOBİ)</v>
      </c>
      <c r="E13" s="7" t="str">
        <f>IF(B13="","",INDEX(Hesap!$N$5:$N$136,B13))</f>
        <v>Değiştir</v>
      </c>
      <c r="F13" s="7" t="str">
        <f>IF(B13="","",INDEX(Hesap!$D$5:$D$136,B13))</f>
        <v>test</v>
      </c>
      <c r="G13" s="8">
        <f>IF(B13="","",INDEX(Hesap!$E$5:$E$136,B13))</f>
        <v>56.2</v>
      </c>
      <c r="H13" s="8">
        <f>IF(B13="","",INDEX(Hesap!$G$5:$G$136,B13))</f>
        <v>23.06</v>
      </c>
      <c r="I13" s="9">
        <f>IF(B13="","",INDEX(Hesap!$H$5:$H$136,B13))</f>
        <v>0.53</v>
      </c>
      <c r="J13" s="8">
        <f>IF(B13="","",INDEX(Hesap!$I$5:$I$136,B13))</f>
        <v>60</v>
      </c>
      <c r="K13" s="10">
        <f>IF(B13="","",INDEX(Hesap!$J$5:$J$136,B13))</f>
        <v>65400</v>
      </c>
      <c r="L13" s="10">
        <f>IF(B13="","",INDEX(Finans!$AG$5:$AG$136,B13))</f>
        <v>269.1358024691358</v>
      </c>
      <c r="M13" s="5">
        <f>IF(B13="","",INDEX(Finans!$K$5:$K$136,B13))</f>
        <v>45</v>
      </c>
      <c r="N13" s="5">
        <f>IF(B13="","",INDEX(Hesap!$T$5:$T$136,B13))</f>
        <v>85</v>
      </c>
      <c r="O13" s="6" t="str">
        <f>IF(B13="","",INDEX(Deneyler!$C$5:$C$136,B13))</f>
        <v>OSB'deki üretici KOBİ'ler ücretsiz denetim raporuna yanıt verir ve 85.000 ₺'lik sabit kapsamlı teklife avans öder</v>
      </c>
    </row>
    <row r="14">
      <c r="A14" s="5" t="n">
        <v>10</v>
      </c>
      <c r="B14" s="5">
        <f>IFERROR(MATCH(A14,Hesap!$Q$5:$Q$136,0),"")</f>
        <v>12</v>
      </c>
      <c r="C14" s="6" t="str">
        <f>IF(B14="","",INDEX(Hesap!$B$5:$B$136,B14))</f>
        <v>Asgari işçilik hesap ve dosya kontrol raporu (uzman teyitli)</v>
      </c>
      <c r="D14" s="6" t="str">
        <f>IF(B14="","",INDEX(Hesap!$C$5:$C$136,B14))</f>
        <v>Asgari işçilik ve hakediş uyum platformu</v>
      </c>
      <c r="E14" s="7" t="str">
        <f>IF(B14="","",INDEX(Hesap!$N$5:$N$136,B14))</f>
        <v>Değiştir</v>
      </c>
      <c r="F14" s="7" t="str">
        <f>IF(B14="","",INDEX(Hesap!$D$5:$D$136,B14))</f>
        <v>test</v>
      </c>
      <c r="G14" s="8">
        <f>IF(B14="","",INDEX(Hesap!$E$5:$E$136,B14))</f>
        <v>58.6</v>
      </c>
      <c r="H14" s="8">
        <f>IF(B14="","",INDEX(Hesap!$G$5:$G$136,B14))</f>
        <v>22.3</v>
      </c>
      <c r="I14" s="9">
        <f>IF(B14="","",INDEX(Hesap!$H$5:$H$136,B14))</f>
        <v>0.35</v>
      </c>
      <c r="J14" s="8">
        <f>IF(B14="","",INDEX(Hesap!$I$5:$I$136,B14))</f>
        <v>45</v>
      </c>
      <c r="K14" s="10">
        <f>IF(B14="","",INDEX(Hesap!$J$5:$J$136,B14))</f>
        <v>6700</v>
      </c>
      <c r="L14" s="10">
        <f>IF(B14="","",INDEX(Finans!$AG$5:$AG$136,B14))</f>
        <v>67.33668341708542</v>
      </c>
      <c r="M14" s="5">
        <f>IF(B14="","",INDEX(Finans!$K$5:$K$136,B14))</f>
        <v>21</v>
      </c>
      <c r="N14" s="5">
        <f>IF(B14="","",INDEX(Hesap!$T$5:$T$136,B14))</f>
        <v>95</v>
      </c>
      <c r="O14" s="6" t="str">
        <f>IF(B14="","",INDEX(Deneyler!$C$5:$C$136,B14))</f>
        <v>Bir yüklenici ya da mali müşavir, bu tablo kontrolü için 10.000 ₺'yi uzman teyitli rapora öder</v>
      </c>
    </row>
    <row r="15">
      <c r="A15" s="5" t="n">
        <v>11</v>
      </c>
      <c r="B15" s="5">
        <f>IFERROR(MATCH(A15,Hesap!$Q$5:$Q$136,0),"")</f>
        <v>7</v>
      </c>
      <c r="C15" s="6" t="str">
        <f>IF(B15="","",INDEX(Hesap!$B$5:$B$136,B15))</f>
        <v>Uzman onaylı ön değerlendirme raporu (KOBİ)</v>
      </c>
      <c r="D15" s="6" t="str">
        <f>IF(B15="","",INDEX(Hesap!$C$5:$C$136,B15))</f>
        <v>DestekTeşvik (destek ve teşvik uygunluk platformu)</v>
      </c>
      <c r="E15" s="7" t="str">
        <f>IF(B15="","",INDEX(Hesap!$N$5:$N$136,B15))</f>
        <v>Değiştir</v>
      </c>
      <c r="F15" s="7" t="str">
        <f>IF(B15="","",INDEX(Hesap!$D$5:$D$136,B15))</f>
        <v>test</v>
      </c>
      <c r="G15" s="8">
        <f>IF(B15="","",INDEX(Hesap!$E$5:$E$136,B15))</f>
        <v>56.4</v>
      </c>
      <c r="H15" s="8">
        <f>IF(B15="","",INDEX(Hesap!$G$5:$G$136,B15))</f>
        <v>22.2</v>
      </c>
      <c r="I15" s="9">
        <f>IF(B15="","",INDEX(Hesap!$H$5:$H$136,B15))</f>
        <v>0.46</v>
      </c>
      <c r="J15" s="8">
        <f>IF(B15="","",INDEX(Hesap!$I$5:$I$136,B15))</f>
        <v>55</v>
      </c>
      <c r="K15" s="10">
        <f>IF(B15="","",INDEX(Hesap!$J$5:$J$136,B15))</f>
        <v>-73500</v>
      </c>
      <c r="L15" s="10">
        <f>IF(B15="","",INDEX(Finans!$AG$5:$AG$136,B15))</f>
        <v>-469.1489361702128</v>
      </c>
      <c r="M15" s="5">
        <f>IF(B15="","",INDEX(Finans!$K$5:$K$136,B15))</f>
        <v>35</v>
      </c>
      <c r="N15" s="5">
        <f>IF(B15="","",INDEX(Hesap!$T$5:$T$136,B15))</f>
        <v>78</v>
      </c>
      <c r="O15" s="6" t="str">
        <f>IF(B15="","",INDEX(Deneyler!$C$5:$C$136,B15))</f>
        <v>Kapanışa 4-6 hafta kala bir KOBİ kurucusu kaynaklı, uzman onaylı rapora 2.990 TL öder</v>
      </c>
    </row>
    <row r="16">
      <c r="A16" s="5" t="n">
        <v>12</v>
      </c>
      <c r="B16" s="5">
        <f>IFERROR(MATCH(A16,Hesap!$Q$5:$Q$136,0),"")</f>
        <v>18</v>
      </c>
      <c r="C16" s="6" t="str">
        <f>IF(B16="","",INDEX(Hesap!$B$5:$B$136,B16))</f>
        <v>SKU katkı raporu (sabit fiyatlı hizmet)</v>
      </c>
      <c r="D16" s="6" t="str">
        <f>IF(B16="","",INDEX(Hesap!$C$5:$C$136,B16))</f>
        <v>Stratejik Kâr Pusulası (e-ticaret kârlılık aracı)</v>
      </c>
      <c r="E16" s="7" t="str">
        <f>IF(B16="","",INDEX(Hesap!$N$5:$N$136,B16))</f>
        <v>Değiştir</v>
      </c>
      <c r="F16" s="7" t="str">
        <f>IF(B16="","",INDEX(Hesap!$D$5:$D$136,B16))</f>
        <v>test</v>
      </c>
      <c r="G16" s="8">
        <f>IF(B16="","",INDEX(Hesap!$E$5:$E$136,B16))</f>
        <v>54</v>
      </c>
      <c r="H16" s="8">
        <f>IF(B16="","",INDEX(Hesap!$G$5:$G$136,B16))</f>
        <v>22.08</v>
      </c>
      <c r="I16" s="9">
        <f>IF(B16="","",INDEX(Hesap!$H$5:$H$136,B16))</f>
        <v>0.56</v>
      </c>
      <c r="J16" s="8">
        <f>IF(B16="","",INDEX(Hesap!$I$5:$I$136,B16))</f>
        <v>45</v>
      </c>
      <c r="K16" s="10">
        <f>IF(B16="","",INDEX(Hesap!$J$5:$J$136,B16))</f>
        <v>-5335</v>
      </c>
      <c r="L16" s="10">
        <f>IF(B16="","",INDEX(Finans!$AG$5:$AG$136,B16))</f>
        <v>-58.2</v>
      </c>
      <c r="M16" s="5">
        <f>IF(B16="","",INDEX(Finans!$K$5:$K$136,B16))</f>
        <v>35</v>
      </c>
      <c r="N16" s="5">
        <f>IF(B16="","",INDEX(Hesap!$T$5:$T$136,B16))</f>
        <v>33</v>
      </c>
      <c r="O16" s="6" t="str">
        <f>IF(B16="","",INDEX(Deneyler!$C$5:$C$136,B16))</f>
        <v>50-500 SKU'lu satıcı, kendi dosyasının açıklamalı katkı raporu için 1.000 TL ödeyecek</v>
      </c>
    </row>
    <row r="17">
      <c r="A17" s="5" t="n">
        <v>13</v>
      </c>
      <c r="B17" s="5">
        <f>IFERROR(MATCH(A17,Hesap!$Q$5:$Q$136,0),"")</f>
        <v>50</v>
      </c>
      <c r="C17" s="6" t="str">
        <f>IF(B17="","",INDEX(Hesap!$B$5:$B$136,B17))</f>
        <v>Girişimci adayına ücretli yönetici raporu (PDF)</v>
      </c>
      <c r="D17" s="6" t="str">
        <f>IF(B17="","",INDEX(Hesap!$C$5:$C$136,B17))</f>
        <v>Strateji Simülatörü</v>
      </c>
      <c r="E17" s="7" t="str">
        <f>IF(B17="","",INDEX(Hesap!$N$5:$N$136,B17))</f>
        <v>Değiştir</v>
      </c>
      <c r="F17" s="7" t="str">
        <f>IF(B17="","",INDEX(Hesap!$D$5:$D$136,B17))</f>
        <v>test</v>
      </c>
      <c r="G17" s="8">
        <f>IF(B17="","",INDEX(Hesap!$E$5:$E$136,B17))</f>
        <v>59.8</v>
      </c>
      <c r="H17" s="8">
        <f>IF(B17="","",INDEX(Hesap!$G$5:$G$136,B17))</f>
        <v>21.86</v>
      </c>
      <c r="I17" s="9">
        <f>IF(B17="","",INDEX(Hesap!$H$5:$H$136,B17))</f>
        <v>0.29</v>
      </c>
      <c r="J17" s="8">
        <f>IF(B17="","",INDEX(Hesap!$I$5:$I$136,B17))</f>
        <v>55</v>
      </c>
      <c r="K17" s="10">
        <f>IF(B17="","",INDEX(Hesap!$J$5:$J$136,B17))</f>
        <v>-18995</v>
      </c>
      <c r="L17" s="10">
        <f>IF(B17="","",INDEX(Finans!$AG$5:$AG$136,B17))</f>
        <v>-237.4375</v>
      </c>
      <c r="M17" s="5">
        <f>IF(B17="","",INDEX(Finans!$K$5:$K$136,B17))</f>
        <v>35</v>
      </c>
      <c r="N17" s="5">
        <f>IF(B17="","",INDEX(Hesap!$T$5:$T$136,B17))</f>
        <v>10</v>
      </c>
      <c r="O17" s="6" t="str">
        <f>IF(B17="","",INDEX(Deneyler!$C$5:$C$136,B17))</f>
        <v>Girişimci adayı, ücretsiz değerlendirmeyi bitirdikten sonra ChatGPT yerine 349-749 TL ödeyip rapor alır</v>
      </c>
    </row>
    <row r="18">
      <c r="A18" s="5" t="n">
        <v>14</v>
      </c>
      <c r="B18" s="5">
        <f>IFERROR(MATCH(A18,Hesap!$Q$5:$Q$136,0),"")</f>
        <v>52</v>
      </c>
      <c r="C18" s="6" t="str">
        <f>IF(B18="","",INDEX(Hesap!$B$5:$B$136,B18))</f>
        <v>Pro menü çubuğu uygulaması ve rehber paketi (bireysel geliştirici)</v>
      </c>
      <c r="D18" s="6" t="str">
        <f>IF(B18="","",INDEX(Hesap!$C$5:$C$136,B18))</f>
        <v>Yapay zekâ ajanı kaynak ve maliyet koruyucu</v>
      </c>
      <c r="E18" s="7" t="str">
        <f>IF(B18="","",INDEX(Hesap!$N$5:$N$136,B18))</f>
        <v>Değiştir</v>
      </c>
      <c r="F18" s="7" t="str">
        <f>IF(B18="","",INDEX(Hesap!$D$5:$D$136,B18))</f>
        <v>test</v>
      </c>
      <c r="G18" s="8">
        <f>IF(B18="","",INDEX(Hesap!$E$5:$E$136,B18))</f>
        <v>52.6</v>
      </c>
      <c r="H18" s="8">
        <f>IF(B18="","",INDEX(Hesap!$G$5:$G$136,B18))</f>
        <v>21.18</v>
      </c>
      <c r="I18" s="9">
        <f>IF(B18="","",INDEX(Hesap!$H$5:$H$136,B18))</f>
        <v>0.55</v>
      </c>
      <c r="J18" s="8">
        <f>IF(B18="","",INDEX(Hesap!$I$5:$I$136,B18))</f>
        <v>65</v>
      </c>
      <c r="K18" s="10">
        <f>IF(B18="","",INDEX(Hesap!$J$5:$J$136,B18))</f>
        <v>-1472</v>
      </c>
      <c r="L18" s="10">
        <f>IF(B18="","",INDEX(Finans!$AG$5:$AG$136,B18))</f>
        <v>-8.414634146341463</v>
      </c>
      <c r="M18" s="5">
        <f>IF(B18="","",INDEX(Finans!$K$5:$K$136,B18))</f>
        <v>56</v>
      </c>
      <c r="N18" s="5">
        <f>IF(B18="","",INDEX(Hesap!$T$5:$T$136,B18))</f>
        <v>48</v>
      </c>
      <c r="O18" s="6" t="str">
        <f>IF(B18="","",INDEX(Deneyler!$C$5:$C$136,B18))</f>
        <v>Ücretsiz rakipler ve ücretsiz çekirdek varken geliştiriciler menü çubuğu uygulaması için 15 $ ön ödeme yapar</v>
      </c>
    </row>
    <row r="19">
      <c r="A19" s="5" t="n">
        <v>15</v>
      </c>
      <c r="B19" s="5">
        <f>IFERROR(MATCH(A19,Hesap!$Q$5:$Q$136,0),"")</f>
        <v>55</v>
      </c>
      <c r="C19" s="6" t="str">
        <f>IF(B19="","",INDEX(Hesap!$B$5:$B$136,B19))</f>
        <v>Ajan görev paketi: açık çekirdek ve Pro şablonlar</v>
      </c>
      <c r="D19" s="6" t="str">
        <f>IF(B19="","",INDEX(Hesap!$C$5:$C$136,B19))</f>
        <v>actionplan (yapay zekâya hazır iş kırılım aracı)</v>
      </c>
      <c r="E19" s="7" t="str">
        <f>IF(B19="","",INDEX(Hesap!$N$5:$N$136,B19))</f>
        <v>Değiştir</v>
      </c>
      <c r="F19" s="7" t="str">
        <f>IF(B19="","",INDEX(Hesap!$D$5:$D$136,B19))</f>
        <v>test</v>
      </c>
      <c r="G19" s="8">
        <f>IF(B19="","",INDEX(Hesap!$E$5:$E$136,B19))</f>
        <v>55.8</v>
      </c>
      <c r="H19" s="8">
        <f>IF(B19="","",INDEX(Hesap!$G$5:$G$136,B19))</f>
        <v>20.9</v>
      </c>
      <c r="I19" s="9">
        <f>IF(B19="","",INDEX(Hesap!$H$5:$H$136,B19))</f>
        <v>0.39</v>
      </c>
      <c r="J19" s="8">
        <f>IF(B19="","",INDEX(Hesap!$I$5:$I$136,B19))</f>
        <v>55</v>
      </c>
      <c r="K19" s="10">
        <f>IF(B19="","",INDEX(Hesap!$J$5:$J$136,B19))</f>
        <v>43400</v>
      </c>
      <c r="L19" s="10">
        <f>IF(B19="","",INDEX(Finans!$AG$5:$AG$136,B19))</f>
        <v>187.6756756756757</v>
      </c>
      <c r="M19" s="5">
        <f>IF(B19="","",INDEX(Finans!$K$5:$K$136,B19))</f>
        <v>50</v>
      </c>
      <c r="N19" s="5">
        <f>IF(B19="","",INDEX(Hesap!$T$5:$T$136,B19))</f>
        <v>76</v>
      </c>
      <c r="O19" s="6" t="str">
        <f>IF(B19="","",INDEX(Deneyler!$C$5:$C$136,B19))</f>
        <v>Ajan kullanan geliştiriciler görev paketi için çekirdek ücretsiz dururken Pro şablonlara para öder</v>
      </c>
    </row>
    <row r="20">
      <c r="A20" s="5" t="n">
        <v>16</v>
      </c>
      <c r="B20" s="5">
        <f>IFERROR(MATCH(A20,Hesap!$Q$5:$Q$136,0),"")</f>
        <v>40</v>
      </c>
      <c r="C20" s="6" t="str">
        <f>IF(B20="","",INDEX(Hesap!$B$5:$B$136,B20))</f>
        <v>Hibe ve yatırım sunum paketi: site, canlı model, doğrulama</v>
      </c>
      <c r="D20" s="6" t="str">
        <f>IF(B20="","",INDEX(Hesap!$C$5:$C$136,B20))</f>
        <v>Kurucu sunumu ve canlı finans modeli hizmeti</v>
      </c>
      <c r="E20" s="7" t="str">
        <f>IF(B20="","",INDEX(Hesap!$N$5:$N$136,B20))</f>
        <v>Değiştir</v>
      </c>
      <c r="F20" s="7" t="str">
        <f>IF(B20="","",INDEX(Hesap!$D$5:$D$136,B20))</f>
        <v>test</v>
      </c>
      <c r="G20" s="8">
        <f>IF(B20="","",INDEX(Hesap!$E$5:$E$136,B20))</f>
        <v>55.4</v>
      </c>
      <c r="H20" s="8">
        <f>IF(B20="","",INDEX(Hesap!$G$5:$G$136,B20))</f>
        <v>20.82</v>
      </c>
      <c r="I20" s="9">
        <f>IF(B20="","",INDEX(Hesap!$H$5:$H$136,B20))</f>
        <v>0.37</v>
      </c>
      <c r="J20" s="8">
        <f>IF(B20="","",INDEX(Hesap!$I$5:$I$136,B20))</f>
        <v>55</v>
      </c>
      <c r="K20" s="10">
        <f>IF(B20="","",INDEX(Hesap!$J$5:$J$136,B20))</f>
        <v>2650</v>
      </c>
      <c r="L20" s="10">
        <f>IF(B20="","",INDEX(Finans!$AG$5:$AG$136,B20))</f>
        <v>10.6425702811245</v>
      </c>
      <c r="M20" s="5">
        <f>IF(B20="","",INDEX(Finans!$K$5:$K$136,B20))</f>
        <v>21</v>
      </c>
      <c r="N20" s="5">
        <f>IF(B20="","",INDEX(Hesap!$T$5:$T$136,B20))</f>
        <v>77</v>
      </c>
      <c r="O20" s="6" t="str">
        <f>IF(B20="","",INDEX(Deneyler!$C$5:$C$136,B20))</f>
        <v>Kurucu, jüri ve yatırımcı dosyası için 22.500-45.000 ₺ paket bedelini öz kaynaktan ödeyecek.</v>
      </c>
    </row>
    <row r="21">
      <c r="A21" s="5" t="n">
        <v>17</v>
      </c>
      <c r="B21" s="5">
        <f>IFERROR(MATCH(A21,Hesap!$Q$5:$Q$136,0),"")</f>
        <v>25</v>
      </c>
      <c r="C21" s="6" t="str">
        <f>IF(B21="","",INDEX(Hesap!$B$5:$B$136,B21))</f>
        <v>Başlangıç paketi: fizibilite, vitrin site, açılış planı</v>
      </c>
      <c r="D21" s="6" t="str">
        <f>IF(B21="","",INDEX(Hesap!$C$5:$C$136,B21))</f>
        <v>Üretici KOBİ dijital başlangıç paketi</v>
      </c>
      <c r="E21" s="7" t="str">
        <f>IF(B21="","",INDEX(Hesap!$N$5:$N$136,B21))</f>
        <v>Değiştir</v>
      </c>
      <c r="F21" s="7" t="str">
        <f>IF(B21="","",INDEX(Hesap!$D$5:$D$136,B21))</f>
        <v>test</v>
      </c>
      <c r="G21" s="8">
        <f>IF(B21="","",INDEX(Hesap!$E$5:$E$136,B21))</f>
        <v>52.6</v>
      </c>
      <c r="H21" s="8">
        <f>IF(B21="","",INDEX(Hesap!$G$5:$G$136,B21))</f>
        <v>20.78</v>
      </c>
      <c r="I21" s="9">
        <f>IF(B21="","",INDEX(Hesap!$H$5:$H$136,B21))</f>
        <v>0.47</v>
      </c>
      <c r="J21" s="8">
        <f>IF(B21="","",INDEX(Hesap!$I$5:$I$136,B21))</f>
        <v>55</v>
      </c>
      <c r="K21" s="10">
        <f>IF(B21="","",INDEX(Hesap!$J$5:$J$136,B21))</f>
        <v>11200</v>
      </c>
      <c r="L21" s="10">
        <f>IF(B21="","",INDEX(Finans!$AG$5:$AG$136,B21))</f>
        <v>75.80372250423012</v>
      </c>
      <c r="M21" s="5">
        <f>IF(B21="","",INDEX(Finans!$K$5:$K$136,B21))</f>
        <v>35</v>
      </c>
      <c r="N21" s="5">
        <f>IF(B21="","",INDEX(Hesap!$T$5:$T$136,B21))</f>
        <v>47</v>
      </c>
      <c r="O21" s="6" t="str">
        <f>IF(B21="","",INDEX(Deneyler!$C$5:$C$136,B21))</f>
        <v>Mevcut iki üretici ya da 20 adlı üreticiden en az biri, kendi maliyetiyle yapılan canlı hesaptan sonra 90.000 ₺ avans öder.</v>
      </c>
    </row>
    <row r="22">
      <c r="A22" s="5" t="n">
        <v>18</v>
      </c>
      <c r="B22" s="5">
        <f>IFERROR(MATCH(A22,Hesap!$Q$5:$Q$136,0),"")</f>
        <v>96</v>
      </c>
      <c r="C22" s="6" t="str">
        <f>IF(B22="","",INDEX(Hesap!$B$5:$B$136,B22))</f>
        <v>Çok dilli site denetimi: sabit fiyatlı paket</v>
      </c>
      <c r="D22" s="6" t="str">
        <f>IF(B22="","",INDEX(Hesap!$C$5:$C$136,B22))</f>
        <v>Çok dilli arayüz rehberi ve denetimi</v>
      </c>
      <c r="E22" s="7" t="str">
        <f>IF(B22="","",INDEX(Hesap!$N$5:$N$136,B22))</f>
        <v>Değiştir</v>
      </c>
      <c r="F22" s="7" t="str">
        <f>IF(B22="","",INDEX(Hesap!$D$5:$D$136,B22))</f>
        <v>test</v>
      </c>
      <c r="G22" s="8">
        <f>IF(B22="","",INDEX(Hesap!$E$5:$E$136,B22))</f>
        <v>57</v>
      </c>
      <c r="H22" s="8">
        <f>IF(B22="","",INDEX(Hesap!$G$5:$G$136,B22))</f>
        <v>20.78</v>
      </c>
      <c r="I22" s="9">
        <f>IF(B22="","",INDEX(Hesap!$H$5:$H$136,B22))</f>
        <v>0.3</v>
      </c>
      <c r="J22" s="8">
        <f>IF(B22="","",INDEX(Hesap!$I$5:$I$136,B22))</f>
        <v>40</v>
      </c>
      <c r="K22" s="10">
        <f>IF(B22="","",INDEX(Hesap!$J$5:$J$136,B22))</f>
        <v>6000</v>
      </c>
      <c r="L22" s="10">
        <f>IF(B22="","",INDEX(Finans!$AG$5:$AG$136,B22))</f>
        <v>51.39186295503212</v>
      </c>
      <c r="M22" s="5">
        <f>IF(B22="","",INDEX(Finans!$K$5:$K$136,B22))</f>
        <v>30</v>
      </c>
      <c r="N22" s="5">
        <f>IF(B22="","",INDEX(Hesap!$T$5:$T$136,B22))</f>
        <v>27</v>
      </c>
      <c r="O22" s="6" t="str">
        <f>IF(B22="","",INDEX(Deneyler!$C$5:$C$136,B22))</f>
        <v>Mevcut site müşterileri ve ajanslar, çeviri sonrası hataları önlemek için 7.500 ₺ sabit denetimi ek kalem olarak satın alır.</v>
      </c>
    </row>
    <row r="23">
      <c r="A23" s="5" t="n">
        <v>19</v>
      </c>
      <c r="B23" s="5">
        <f>IFERROR(MATCH(A23,Hesap!$Q$5:$Q$136,0),"")</f>
        <v>118</v>
      </c>
      <c r="C23" s="6" t="str">
        <f>IF(B23="","",INDEX(Hesap!$B$5:$B$136,B23))</f>
        <v>Kitap Atlası, çevirmen künyeli ortaklık sitesi</v>
      </c>
      <c r="D23" s="6" t="str">
        <f>IF(B23="","",INDEX(Hesap!$C$5:$C$136,B23))</f>
        <v>Kurucu Pusulası şablonu ve Kitap Atlası</v>
      </c>
      <c r="E23" s="7" t="str">
        <f>IF(B23="","",INDEX(Hesap!$N$5:$N$136,B23))</f>
        <v>Değiştir</v>
      </c>
      <c r="F23" s="7" t="str">
        <f>IF(B23="","",INDEX(Hesap!$D$5:$D$136,B23))</f>
        <v>test</v>
      </c>
      <c r="G23" s="8">
        <f>IF(B23="","",INDEX(Hesap!$E$5:$E$136,B23))</f>
        <v>54.2</v>
      </c>
      <c r="H23" s="8">
        <f>IF(B23="","",INDEX(Hesap!$G$5:$G$136,B23))</f>
        <v>20.78</v>
      </c>
      <c r="I23" s="9">
        <f>IF(B23="","",INDEX(Hesap!$H$5:$H$136,B23))</f>
        <v>0.34</v>
      </c>
      <c r="J23" s="8">
        <f>IF(B23="","",INDEX(Hesap!$I$5:$I$136,B23))</f>
        <v>50</v>
      </c>
      <c r="K23" s="10">
        <f>IF(B23="","",INDEX(Hesap!$J$5:$J$136,B23))</f>
        <v>-1206</v>
      </c>
      <c r="L23" s="10">
        <f>IF(B23="","",INDEX(Finans!$AG$5:$AG$136,B23))</f>
        <v>-86.14285714285714</v>
      </c>
      <c r="M23" s="5">
        <f>IF(B23="","",INDEX(Finans!$K$5:$K$136,B23))</f>
        <v>90</v>
      </c>
      <c r="N23" s="5">
        <f>IF(B23="","",INDEX(Hesap!$T$5:$T$136,B23))</f>
        <v>15</v>
      </c>
      <c r="O23" s="6" t="str">
        <f>IF(B23="","",INDEX(Deneyler!$C$5:$C$136,B23))</f>
        <v>Arama trafiği künye sayfalarından mağazaya tıklar ve ortaklık programları kabul eder, komisyon ödenir</v>
      </c>
    </row>
    <row r="24">
      <c r="A24" s="5" t="n">
        <v>20</v>
      </c>
      <c r="B24" s="5">
        <f>IFERROR(MATCH(A24,Hesap!$Q$5:$Q$136,0),"")</f>
        <v>51</v>
      </c>
      <c r="C24" s="6" t="str">
        <f>IF(B24="","",INDEX(Hesap!$B$5:$B$136,B24))</f>
        <v>Mevcut müşterilere değerlendirme raporu ve yorum görüşmesi</v>
      </c>
      <c r="D24" s="6" t="str">
        <f>IF(B24="","",INDEX(Hesap!$C$5:$C$136,B24))</f>
        <v>Strateji Simülatörü</v>
      </c>
      <c r="E24" s="7" t="str">
        <f>IF(B24="","",INDEX(Hesap!$N$5:$N$136,B24))</f>
        <v>Değiştir</v>
      </c>
      <c r="F24" s="7" t="str">
        <f>IF(B24="","",INDEX(Hesap!$D$5:$D$136,B24))</f>
        <v>test</v>
      </c>
      <c r="G24" s="8">
        <f>IF(B24="","",INDEX(Hesap!$E$5:$E$136,B24))</f>
        <v>56.6</v>
      </c>
      <c r="H24" s="8">
        <f>IF(B24="","",INDEX(Hesap!$G$5:$G$136,B24))</f>
        <v>20.66</v>
      </c>
      <c r="I24" s="9">
        <f>IF(B24="","",INDEX(Hesap!$H$5:$H$136,B24))</f>
        <v>0.27</v>
      </c>
      <c r="J24" s="8">
        <f>IF(B24="","",INDEX(Hesap!$I$5:$I$136,B24))</f>
        <v>40</v>
      </c>
      <c r="K24" s="10">
        <f>IF(B24="","",INDEX(Hesap!$J$5:$J$136,B24))</f>
        <v>7250</v>
      </c>
      <c r="L24" s="10">
        <f>IF(B24="","",INDEX(Finans!$AG$5:$AG$136,B24))</f>
        <v>115.0793650793651</v>
      </c>
      <c r="M24" s="5">
        <f>IF(B24="","",INDEX(Finans!$K$5:$K$136,B24))</f>
        <v>10</v>
      </c>
      <c r="N24" s="5">
        <f>IF(B24="","",INDEX(Hesap!$T$5:$T$136,B24))</f>
        <v>2</v>
      </c>
      <c r="O24" s="6" t="str">
        <f>IF(B24="","",INDEX(Deneyler!$C$5:$C$136,B24))</f>
        <v>Mevcut müşteriler hibe ya da yatırım kararından önce 1.500 TL'lik değerlendirme ve görüşme paketini satın alır</v>
      </c>
    </row>
    <row r="25">
      <c r="A25" s="5" t="n">
        <v>21</v>
      </c>
      <c r="B25" s="5">
        <f>IFERROR(MATCH(A25,Hesap!$Q$5:$Q$136,0),"")</f>
        <v>92</v>
      </c>
      <c r="C25" s="6" t="str">
        <f>IF(B25="","",INDEX(Hesap!$B$5:$B$136,B25))</f>
        <v>Kaynak kod ve belge paketi (depo ve topluluk)</v>
      </c>
      <c r="D25" s="6" t="str">
        <f>IF(B25="","",INDEX(Hesap!$C$5:$C$136,B25))</f>
        <v>E-Menum (Django QR menü kod tabanı)</v>
      </c>
      <c r="E25" s="7" t="str">
        <f>IF(B25="","",INDEX(Hesap!$N$5:$N$136,B25))</f>
        <v>Değiştir</v>
      </c>
      <c r="F25" s="7" t="str">
        <f>IF(B25="","",INDEX(Hesap!$D$5:$D$136,B25))</f>
        <v>test</v>
      </c>
      <c r="G25" s="8">
        <f>IF(B25="","",INDEX(Hesap!$E$5:$E$136,B25))</f>
        <v>54.2</v>
      </c>
      <c r="H25" s="8">
        <f>IF(B25="","",INDEX(Hesap!$G$5:$G$136,B25))</f>
        <v>20.54</v>
      </c>
      <c r="I25" s="9">
        <f>IF(B25="","",INDEX(Hesap!$H$5:$H$136,B25))</f>
        <v>0.4</v>
      </c>
      <c r="J25" s="8">
        <f>IF(B25="","",INDEX(Hesap!$I$5:$I$136,B25))</f>
        <v>45</v>
      </c>
      <c r="K25" s="10">
        <f>IF(B25="","",INDEX(Hesap!$J$5:$J$136,B25))</f>
        <v>3588</v>
      </c>
      <c r="L25" s="10">
        <f>IF(B25="","",INDEX(Finans!$AG$5:$AG$136,B25))</f>
        <v>70.00975609756098</v>
      </c>
      <c r="M25" s="5">
        <f>IF(B25="","",INDEX(Finans!$K$5:$K$136,B25))</f>
        <v>45</v>
      </c>
      <c r="N25" s="5">
        <f>IF(B25="","",INDEX(Hesap!$T$5:$T$136,B25))</f>
        <v>99</v>
      </c>
      <c r="O25" s="6" t="str">
        <f>IF(B25="","",INDEX(Deneyler!$C$5:$C$136,B25))</f>
        <v>Pazar yerinde ya da depoda Türkçe iş kurallı Django QR menü kodunu 89 USD'ye alacak geliştirici var</v>
      </c>
    </row>
    <row r="26">
      <c r="A26" s="5" t="n">
        <v>22</v>
      </c>
      <c r="B26" s="5">
        <f>IFERROR(MATCH(A26,Hesap!$Q$5:$Q$136,0),"")</f>
        <v>41</v>
      </c>
      <c r="C26" s="6" t="str">
        <f>IF(B26="","",INDEX(Hesap!$B$5:$B$136,B26))</f>
        <v>Rakam tutarlılığı denetimi: tek dosya, sabit fiyat</v>
      </c>
      <c r="D26" s="6" t="str">
        <f>IF(B26="","",INDEX(Hesap!$C$5:$C$136,B26))</f>
        <v>Kurucu sunumu ve canlı finans modeli hizmeti</v>
      </c>
      <c r="E26" s="7" t="str">
        <f>IF(B26="","",INDEX(Hesap!$N$5:$N$136,B26))</f>
        <v>Değiştir</v>
      </c>
      <c r="F26" s="7" t="str">
        <f>IF(B26="","",INDEX(Hesap!$D$5:$D$136,B26))</f>
        <v>test</v>
      </c>
      <c r="G26" s="8">
        <f>IF(B26="","",INDEX(Hesap!$E$5:$E$136,B26))</f>
        <v>56.2</v>
      </c>
      <c r="H26" s="8">
        <f>IF(B26="","",INDEX(Hesap!$G$5:$G$136,B26))</f>
        <v>20.42</v>
      </c>
      <c r="I26" s="9">
        <f>IF(B26="","",INDEX(Hesap!$H$5:$H$136,B26))</f>
        <v>0.34</v>
      </c>
      <c r="J26" s="8">
        <f>IF(B26="","",INDEX(Hesap!$I$5:$I$136,B26))</f>
        <v>35</v>
      </c>
      <c r="K26" s="10">
        <f>IF(B26="","",INDEX(Hesap!$J$5:$J$136,B26))</f>
        <v>-8200</v>
      </c>
      <c r="L26" s="10">
        <f>IF(B26="","",INDEX(Finans!$AG$5:$AG$136,B26))</f>
        <v>-174.468085106383</v>
      </c>
      <c r="M26" s="5">
        <f>IF(B26="","",INDEX(Finans!$K$5:$K$136,B26))</f>
        <v>14</v>
      </c>
      <c r="N26" s="5">
        <f>IF(B26="","",INDEX(Hesap!$T$5:$T$136,B26))</f>
        <v>29</v>
      </c>
      <c r="O26" s="6" t="str">
        <f>IF(B26="","",INDEX(Deneyler!$C$5:$C$136,B26))</f>
        <v>Kurucu, kendi dosyasındaki çelişkiyi görünce 9.000 ₺ ödeyerek rapor ve düzeltilmiş rakam listesi isteyecek.</v>
      </c>
    </row>
    <row r="27">
      <c r="A27" s="5" t="n">
        <v>23</v>
      </c>
      <c r="B27" s="5">
        <f>IFERROR(MATCH(A27,Hesap!$Q$5:$Q$136,0),"")</f>
        <v>125</v>
      </c>
      <c r="C27" s="6" t="str">
        <f>IF(B27="","",INDEX(Hesap!$B$5:$B$136,B27))</f>
        <v>Taksit ve kapıda ödeme eklentisi: ücretsiz çekirdek + Pro</v>
      </c>
      <c r="D27" s="6" t="str">
        <f>IF(B27="","",INDEX(Hesap!$C$5:$C$136,B27))</f>
        <v>WooCommerce yorum ve taksit eklentisi (WooCommnts)</v>
      </c>
      <c r="E27" s="7" t="str">
        <f>IF(B27="","",INDEX(Hesap!$N$5:$N$136,B27))</f>
        <v>Değiştir</v>
      </c>
      <c r="F27" s="7" t="str">
        <f>IF(B27="","",INDEX(Hesap!$D$5:$D$136,B27))</f>
        <v>test</v>
      </c>
      <c r="G27" s="8">
        <f>IF(B27="","",INDEX(Hesap!$E$5:$E$136,B27))</f>
        <v>58.6</v>
      </c>
      <c r="H27" s="8">
        <f>IF(B27="","",INDEX(Hesap!$G$5:$G$136,B27))</f>
        <v>20.26</v>
      </c>
      <c r="I27" s="9">
        <f>IF(B27="","",INDEX(Hesap!$H$5:$H$136,B27))</f>
        <v>0.2</v>
      </c>
      <c r="J27" s="8">
        <f>IF(B27="","",INDEX(Hesap!$I$5:$I$136,B27))</f>
        <v>60</v>
      </c>
      <c r="K27" s="10">
        <f>IF(B27="","",INDEX(Hesap!$J$5:$J$136,B27))</f>
        <v>19990</v>
      </c>
      <c r="L27" s="10">
        <f>IF(B27="","",INDEX(Finans!$AG$5:$AG$136,B27))</f>
        <v>199.2358803986711</v>
      </c>
      <c r="M27" s="5">
        <f>IF(B27="","",INDEX(Finans!$K$5:$K$136,B27))</f>
        <v>60</v>
      </c>
      <c r="N27" s="5">
        <f>IF(B27="","",INDEX(Hesap!$T$5:$T$136,B27))</f>
        <v>13</v>
      </c>
      <c r="O27" s="6" t="str">
        <f>IF(B27="","",INDEX(Deneyler!$C$5:$C$136,B27))</f>
        <v>Kapıda ödeme ve taksit için geçitten bağımsız eklentiye mağaza sahibi para öder</v>
      </c>
    </row>
    <row r="28">
      <c r="A28" s="5" t="n">
        <v>24</v>
      </c>
      <c r="B28" s="5">
        <f>IFERROR(MATCH(A28,Hesap!$Q$5:$Q$136,0),"")</f>
        <v>28</v>
      </c>
      <c r="C28" s="6" t="str">
        <f>IF(B28="","",INDEX(Hesap!$B$5:$B$136,B28))</f>
        <v>KVKK Lite Pro: ajans lisansı</v>
      </c>
      <c r="D28" s="6" t="str">
        <f>IF(B28="","",INDEX(Hesap!$C$5:$C$136,B28))</f>
        <v>WordPress / WooCommerce Türkiye niş eklenti hattı</v>
      </c>
      <c r="E28" s="7" t="str">
        <f>IF(B28="","",INDEX(Hesap!$N$5:$N$136,B28))</f>
        <v>Değiştir</v>
      </c>
      <c r="F28" s="7" t="str">
        <f>IF(B28="","",INDEX(Hesap!$D$5:$D$136,B28))</f>
        <v>test</v>
      </c>
      <c r="G28" s="8">
        <f>IF(B28="","",INDEX(Hesap!$E$5:$E$136,B28))</f>
        <v>52</v>
      </c>
      <c r="H28" s="8">
        <f>IF(B28="","",INDEX(Hesap!$G$5:$G$136,B28))</f>
        <v>20.12</v>
      </c>
      <c r="I28" s="9">
        <f>IF(B28="","",INDEX(Hesap!$H$5:$H$136,B28))</f>
        <v>0.41</v>
      </c>
      <c r="J28" s="8">
        <f>IF(B28="","",INDEX(Hesap!$I$5:$I$136,B28))</f>
        <v>60</v>
      </c>
      <c r="K28" s="10">
        <f>IF(B28="","",INDEX(Hesap!$J$5:$J$136,B28))</f>
        <v>-13806</v>
      </c>
      <c r="L28" s="10">
        <f>IF(B28="","",INDEX(Finans!$AG$5:$AG$136,B28))</f>
        <v>-66.53493975903615</v>
      </c>
      <c r="M28" s="5">
        <f>IF(B28="","",INDEX(Finans!$K$5:$K$136,B28))</f>
        <v>60</v>
      </c>
      <c r="N28" s="5">
        <f>IF(B28="","",INDEX(Hesap!$T$5:$T$136,B28))</f>
        <v>34</v>
      </c>
      <c r="O28" s="6" t="str">
        <f>IF(B28="","",INDEX(Deneyler!$C$5:$C$136,B28))</f>
        <v>En az 3 ajans, eklenti yayına çıkmadan ₺4.990 ajans lisansı için ön ödeme yapar</v>
      </c>
    </row>
    <row r="29">
      <c r="A29" s="5" t="n">
        <v>25</v>
      </c>
      <c r="B29" s="5">
        <f>IFERROR(MATCH(A29,Hesap!$Q$5:$Q$136,0),"")</f>
        <v>116</v>
      </c>
      <c r="C29" s="6" t="str">
        <f>IF(B29="","",INDEX(Hesap!$B$5:$B$136,B29))</f>
        <v>Kurucu Pusulası şablonu, bireysel satış</v>
      </c>
      <c r="D29" s="6" t="str">
        <f>IF(B29="","",INDEX(Hesap!$C$5:$C$136,B29))</f>
        <v>Kurucu Pusulası şablonu ve Kitap Atlası</v>
      </c>
      <c r="E29" s="7" t="str">
        <f>IF(B29="","",INDEX(Hesap!$N$5:$N$136,B29))</f>
        <v>Değiştir</v>
      </c>
      <c r="F29" s="7" t="str">
        <f>IF(B29="","",INDEX(Hesap!$D$5:$D$136,B29))</f>
        <v>test</v>
      </c>
      <c r="G29" s="8">
        <f>IF(B29="","",INDEX(Hesap!$E$5:$E$136,B29))</f>
        <v>56.2</v>
      </c>
      <c r="H29" s="8">
        <f>IF(B29="","",INDEX(Hesap!$G$5:$G$136,B29))</f>
        <v>20.1</v>
      </c>
      <c r="I29" s="9">
        <f>IF(B29="","",INDEX(Hesap!$H$5:$H$136,B29))</f>
        <v>0.35</v>
      </c>
      <c r="J29" s="8">
        <f>IF(B29="","",INDEX(Hesap!$I$5:$I$136,B29))</f>
        <v>50</v>
      </c>
      <c r="K29" s="10">
        <f>IF(B29="","",INDEX(Hesap!$J$5:$J$136,B29))</f>
        <v>-2475</v>
      </c>
      <c r="L29" s="10">
        <f>IF(B29="","",INDEX(Finans!$AG$5:$AG$136,B29))</f>
        <v>-30.68181818181818</v>
      </c>
      <c r="M29" s="5">
        <f>IF(B29="","",INDEX(Finans!$K$5:$K$136,B29))</f>
        <v>35</v>
      </c>
      <c r="N29" s="5">
        <f>IF(B29="","",INDEX(Hesap!$T$5:$T$136,B29))</f>
        <v>52</v>
      </c>
      <c r="O29" s="6" t="str">
        <f>IF(B29="","",INDEX(Deneyler!$C$5:$C$136,B29))</f>
        <v>Kurucular, arındırılmış bir karar dosyası için 299 TL öder; ücretsiz ilk 3 küme paketi satışa dönüşür</v>
      </c>
    </row>
    <row r="30">
      <c r="A30" s="5" t="n">
        <v>26</v>
      </c>
      <c r="B30" s="5">
        <f>IFERROR(MATCH(A30,Hesap!$Q$5:$Q$136,0),"")</f>
        <v>23</v>
      </c>
      <c r="C30" s="6" t="str">
        <f>IF(B30="","",INDEX(Hesap!$B$5:$B$136,B30))</f>
        <v>Vitrin paketi: 2 dilli giriş sitesi (45.000 ₺)</v>
      </c>
      <c r="D30" s="6" t="str">
        <f>IF(B30="","",INDEX(Hesap!$C$5:$C$136,B30))</f>
        <v>Kurumsal site hizmeti (KOBİ)</v>
      </c>
      <c r="E30" s="7" t="str">
        <f>IF(B30="","",INDEX(Hesap!$N$5:$N$136,B30))</f>
        <v>Değiştir</v>
      </c>
      <c r="F30" s="7" t="str">
        <f>IF(B30="","",INDEX(Hesap!$D$5:$D$136,B30))</f>
        <v>test</v>
      </c>
      <c r="G30" s="8">
        <f>IF(B30="","",INDEX(Hesap!$E$5:$E$136,B30))</f>
        <v>50.6</v>
      </c>
      <c r="H30" s="8">
        <f>IF(B30="","",INDEX(Hesap!$G$5:$G$136,B30))</f>
        <v>20.06</v>
      </c>
      <c r="I30" s="9">
        <f>IF(B30="","",INDEX(Hesap!$H$5:$H$136,B30))</f>
        <v>0.45</v>
      </c>
      <c r="J30" s="8">
        <f>IF(B30="","",INDEX(Hesap!$I$5:$I$136,B30))</f>
        <v>50</v>
      </c>
      <c r="K30" s="10">
        <f>IF(B30="","",INDEX(Hesap!$J$5:$J$136,B30))</f>
        <v>63400</v>
      </c>
      <c r="L30" s="10">
        <f>IF(B30="","",INDEX(Finans!$AG$5:$AG$136,B30))</f>
        <v>370.7602339181287</v>
      </c>
      <c r="M30" s="5">
        <f>IF(B30="","",INDEX(Finans!$K$5:$K$136,B30))</f>
        <v>14</v>
      </c>
      <c r="N30" s="5">
        <f>IF(B30="","",INDEX(Hesap!$T$5:$T$136,B30))</f>
        <v>38</v>
      </c>
      <c r="O30" s="6" t="str">
        <f>IF(B30="","",INDEX(Deneyler!$C$5:$C$136,B30))</f>
        <v>Küçük üretici tek karar vericiyle 45.000 ₺'yi ilk görüşmeden sonraki iki hafta içinde avansla onaylar</v>
      </c>
    </row>
    <row r="31">
      <c r="A31" s="5" t="n">
        <v>27</v>
      </c>
      <c r="B31" s="5">
        <f>IFERROR(MATCH(A31,Hesap!$Q$5:$Q$136,0),"")</f>
        <v>66</v>
      </c>
      <c r="C31" s="6" t="str">
        <f>IF(B31="","",INDEX(Hesap!$B$5:$B$136,B31))</f>
        <v>Ücretsiz puan kartı eklentisi ve Pro yıllık lisans</v>
      </c>
      <c r="D31" s="6" t="str">
        <f>IF(B31="","",INDEX(Hesap!$C$5:$C$136,B31))</f>
        <v>WordPress site sağlığı ve pazarlama denetimi eklentisi (atonota)</v>
      </c>
      <c r="E31" s="7" t="str">
        <f>IF(B31="","",INDEX(Hesap!$N$5:$N$136,B31))</f>
        <v>Değiştir</v>
      </c>
      <c r="F31" s="7" t="str">
        <f>IF(B31="","",INDEX(Hesap!$D$5:$D$136,B31))</f>
        <v>test</v>
      </c>
      <c r="G31" s="8">
        <f>IF(B31="","",INDEX(Hesap!$E$5:$E$136,B31))</f>
        <v>53.4</v>
      </c>
      <c r="H31" s="8">
        <f>IF(B31="","",INDEX(Hesap!$G$5:$G$136,B31))</f>
        <v>19.94</v>
      </c>
      <c r="I31" s="9">
        <f>IF(B31="","",INDEX(Hesap!$H$5:$H$136,B31))</f>
        <v>0.4</v>
      </c>
      <c r="J31" s="8">
        <f>IF(B31="","",INDEX(Hesap!$I$5:$I$136,B31))</f>
        <v>55</v>
      </c>
      <c r="K31" s="10">
        <f>IF(B31="","",INDEX(Hesap!$J$5:$J$136,B31))</f>
        <v>-80</v>
      </c>
      <c r="L31" s="10">
        <f>IF(B31="","",INDEX(Finans!$AG$5:$AG$136,B31))</f>
        <v>-0.576923076923077</v>
      </c>
      <c r="M31" s="5">
        <f>IF(B31="","",INDEX(Finans!$K$5:$K$136,B31))</f>
        <v>60</v>
      </c>
      <c r="N31" s="5">
        <f>IF(B31="","",INDEX(Hesap!$T$5:$T$136,B31))</f>
        <v>101</v>
      </c>
      <c r="O31" s="6" t="str">
        <f>IF(B31="","",INDEX(Deneyler!$C$5:$C$136,B31))</f>
        <v>Ücretsiz kurulan Türk KOBİ siteleri tarama sonrası Pro için ödeme yapar (ücretsiz-Pro en az %1).</v>
      </c>
    </row>
    <row r="32">
      <c r="A32" s="5" t="n">
        <v>28</v>
      </c>
      <c r="B32" s="5">
        <f>IFERROR(MATCH(A32,Hesap!$Q$5:$Q$136,0),"")</f>
        <v>15</v>
      </c>
      <c r="C32" s="6" t="str">
        <f>IF(B32="","",INDEX(Hesap!$B$5:$B$136,B32))</f>
        <v>Merkezden yönetilen şube QR menüsü (Zabuno zincir planı)</v>
      </c>
      <c r="D32" s="6" t="str">
        <f>IF(B32="","",INDEX(Hesap!$C$5:$C$136,B32))</f>
        <v>Kahve zinciri için dijital dönüşüm danışmanlığı</v>
      </c>
      <c r="E32" s="7" t="str">
        <f>IF(B32="","",INDEX(Hesap!$N$5:$N$136,B32))</f>
        <v>Değiştir</v>
      </c>
      <c r="F32" s="7" t="str">
        <f>IF(B32="","",INDEX(Hesap!$D$5:$D$136,B32))</f>
        <v>test</v>
      </c>
      <c r="G32" s="8">
        <f>IF(B32="","",INDEX(Hesap!$E$5:$E$136,B32))</f>
        <v>46.2</v>
      </c>
      <c r="H32" s="8">
        <f>IF(B32="","",INDEX(Hesap!$G$5:$G$136,B32))</f>
        <v>19.86</v>
      </c>
      <c r="I32" s="9">
        <f>IF(B32="","",INDEX(Hesap!$H$5:$H$136,B32))</f>
        <v>0.63</v>
      </c>
      <c r="J32" s="8">
        <f>IF(B32="","",INDEX(Hesap!$I$5:$I$136,B32))</f>
        <v>55</v>
      </c>
      <c r="K32" s="10">
        <f>IF(B32="","",INDEX(Hesap!$J$5:$J$136,B32))</f>
        <v>2836</v>
      </c>
      <c r="L32" s="10">
        <f>IF(B32="","",INDEX(Finans!$AG$5:$AG$136,B32))</f>
        <v>26.25925925925926</v>
      </c>
      <c r="M32" s="5">
        <f>IF(B32="","",INDEX(Finans!$K$5:$K$136,B32))</f>
        <v>75</v>
      </c>
      <c r="N32" s="5">
        <f>IF(B32="","",INDEX(Hesap!$T$5:$T$136,B32))</f>
        <v>18</v>
      </c>
      <c r="O32" s="6" t="str">
        <f>IF(B32="","",INDEX(Deneyler!$C$5:$C$136,B32))</f>
        <v>Genel müdür ücretsiz pilot sonrası bütün şubeler için aylık ücret öder.</v>
      </c>
    </row>
    <row r="33">
      <c r="A33" s="5" t="n">
        <v>29</v>
      </c>
      <c r="B33" s="5">
        <f>IFERROR(MATCH(A33,Hesap!$Q$5:$Q$136,0),"")</f>
        <v>107</v>
      </c>
      <c r="C33" s="6" t="str">
        <f>IF(B33="","",INDEX(Hesap!$B$5:$B$136,B33))</f>
        <v>tenantkit lisanslı kit (Solo ve Team, küresel)</v>
      </c>
      <c r="D33" s="6" t="str">
        <f>IF(B33="","",INDEX(Hesap!$C$5:$C$136,B33))</f>
        <v>Çok kiracılı SaaS arka uç başlangıç kiti (metaframer-kernel)</v>
      </c>
      <c r="E33" s="7" t="str">
        <f>IF(B33="","",INDEX(Hesap!$N$5:$N$136,B33))</f>
        <v>Değiştir</v>
      </c>
      <c r="F33" s="7" t="str">
        <f>IF(B33="","",INDEX(Hesap!$D$5:$D$136,B33))</f>
        <v>test</v>
      </c>
      <c r="G33" s="8">
        <f>IF(B33="","",INDEX(Hesap!$E$5:$E$136,B33))</f>
        <v>55</v>
      </c>
      <c r="H33" s="8">
        <f>IF(B33="","",INDEX(Hesap!$G$5:$G$136,B33))</f>
        <v>19.86</v>
      </c>
      <c r="I33" s="9">
        <f>IF(B33="","",INDEX(Hesap!$H$5:$H$136,B33))</f>
        <v>0.29</v>
      </c>
      <c r="J33" s="8">
        <f>IF(B33="","",INDEX(Hesap!$I$5:$I$136,B33))</f>
        <v>60</v>
      </c>
      <c r="K33" s="10">
        <f>IF(B33="","",INDEX(Hesap!$J$5:$J$136,B33))</f>
        <v>52584</v>
      </c>
      <c r="L33" s="10">
        <f>IF(B33="","",INDEX(Finans!$AG$5:$AG$136,B33))</f>
        <v>230.6315789473684</v>
      </c>
      <c r="M33" s="5">
        <f>IF(B33="","",INDEX(Finans!$K$5:$K$136,B33))</f>
        <v>50</v>
      </c>
      <c r="N33" s="5">
        <f>IF(B33="","",INDEX(Hesap!$T$5:$T$136,B33))</f>
        <v>100</v>
      </c>
      <c r="O33" s="6" t="str">
        <f>IF(B33="","",INDEX(Deneyler!$C$5:$C$136,B33))</f>
        <v>Küçük SaaS ekipleri bedava çekirdek varken izolasyon ve audit temeli için lisans öder</v>
      </c>
    </row>
    <row r="34">
      <c r="A34" s="5" t="n">
        <v>30</v>
      </c>
      <c r="B34" s="5">
        <f>IFERROR(MATCH(A34,Hesap!$Q$5:$Q$136,0),"")</f>
        <v>113</v>
      </c>
      <c r="C34" s="6" t="str">
        <f>IF(B34="","",INDEX(Hesap!$B$5:$B$136,B34))</f>
        <v>Türkçe SaaS mimarisi e-kitabı ön satışı</v>
      </c>
      <c r="D34" s="6" t="str">
        <f>IF(B34="","",INDEX(Hesap!$C$5:$C$136,B34))</f>
        <v>Kurumsal SaaS mimarisi içerik ürünü (projector)</v>
      </c>
      <c r="E34" s="7" t="str">
        <f>IF(B34="","",INDEX(Hesap!$N$5:$N$136,B34))</f>
        <v>Değiştir</v>
      </c>
      <c r="F34" s="7" t="str">
        <f>IF(B34="","",INDEX(Hesap!$D$5:$D$136,B34))</f>
        <v>test</v>
      </c>
      <c r="G34" s="8">
        <f>IF(B34="","",INDEX(Hesap!$E$5:$E$136,B34))</f>
        <v>55.2</v>
      </c>
      <c r="H34" s="8">
        <f>IF(B34="","",INDEX(Hesap!$G$5:$G$136,B34))</f>
        <v>19.84</v>
      </c>
      <c r="I34" s="9">
        <f>IF(B34="","",INDEX(Hesap!$H$5:$H$136,B34))</f>
        <v>0.31</v>
      </c>
      <c r="J34" s="8">
        <f>IF(B34="","",INDEX(Hesap!$I$5:$I$136,B34))</f>
        <v>55</v>
      </c>
      <c r="K34" s="10">
        <f>IF(B34="","",INDEX(Hesap!$J$5:$J$136,B34))</f>
        <v>-25260</v>
      </c>
      <c r="L34" s="10">
        <f>IF(B34="","",INDEX(Finans!$AG$5:$AG$136,B34))</f>
        <v>-162.9677419354839</v>
      </c>
      <c r="M34" s="5">
        <f>IF(B34="","",INDEX(Finans!$K$5:$K$136,B34))</f>
        <v>45</v>
      </c>
      <c r="N34" s="5">
        <f>IF(B34="","",INDEX(Hesap!$T$5:$T$136,B34))</f>
        <v>75</v>
      </c>
      <c r="O34" s="6" t="str">
        <f>IF(B34="","",INDEX(Deneyler!$C$5:$C$136,B34))</f>
        <v>Türkçe geliştiriciler, ücretsiz önizlemeden sonra 349 TL'lik e-kitap için ön ödeme yapar.</v>
      </c>
    </row>
    <row r="35">
      <c r="A35" s="5" t="n">
        <v>31</v>
      </c>
      <c r="B35" s="5">
        <f>IFERROR(MATCH(A35,Hesap!$Q$5:$Q$136,0),"")</f>
        <v>110</v>
      </c>
      <c r="C35" s="6" t="str">
        <f>IF(B35="","",INDEX(Hesap!$B$5:$B$136,B35))</f>
        <v>Proje paketi: Türkçe puanlı boş .com kısa liste aracı</v>
      </c>
      <c r="D35" s="6" t="str">
        <f>IF(B35="","",INDEX(Hesap!$C$5:$C$136,B35))</f>
        <v>Marka adı ve boş alan adı bulucu</v>
      </c>
      <c r="E35" s="7" t="str">
        <f>IF(B35="","",INDEX(Hesap!$N$5:$N$136,B35))</f>
        <v>Değiştir</v>
      </c>
      <c r="F35" s="7" t="str">
        <f>IF(B35="","",INDEX(Hesap!$D$5:$D$136,B35))</f>
        <v>test</v>
      </c>
      <c r="G35" s="8">
        <f>IF(B35="","",INDEX(Hesap!$E$5:$E$136,B35))</f>
        <v>57.6</v>
      </c>
      <c r="H35" s="8">
        <f>IF(B35="","",INDEX(Hesap!$G$5:$G$136,B35))</f>
        <v>19.8</v>
      </c>
      <c r="I35" s="9">
        <f>IF(B35="","",INDEX(Hesap!$H$5:$H$136,B35))</f>
        <v>0.23</v>
      </c>
      <c r="J35" s="8">
        <f>IF(B35="","",INDEX(Hesap!$I$5:$I$136,B35))</f>
        <v>50</v>
      </c>
      <c r="K35" s="10">
        <f>IF(B35="","",INDEX(Hesap!$J$5:$J$136,B35))</f>
        <v>-3690</v>
      </c>
      <c r="L35" s="10">
        <f>IF(B35="","",INDEX(Finans!$AG$5:$AG$136,B35))</f>
        <v>-45.2760736196319</v>
      </c>
      <c r="M35" s="5">
        <f>IF(B35="","",INDEX(Finans!$K$5:$K$136,B35))</f>
        <v>21</v>
      </c>
      <c r="N35" s="5">
        <f>IF(B35="","",INDEX(Hesap!$T$5:$T$136,B35))</f>
        <v>25</v>
      </c>
      <c r="O35" s="6" t="str">
        <f>IF(B35="","",INDEX(Deneyler!$C$5:$C$136,B35))</f>
        <v>Ücretsiz rakipler dururken kullanıcı Türkçe puan ve marka sınıfı farkı için 199 ₺ öder</v>
      </c>
    </row>
    <row r="36">
      <c r="A36" s="5" t="n">
        <v>32</v>
      </c>
      <c r="B36" s="5">
        <f>IFERROR(MATCH(A36,Hesap!$Q$5:$Q$136,0),"")</f>
        <v>93</v>
      </c>
      <c r="C36" s="6" t="str">
        <f>IF(B36="","",INDEX(Hesap!$B$5:$B$136,B36))</f>
        <v>Bülten Pro: aylık eklenti fırsat bülteni</v>
      </c>
      <c r="D36" s="6" t="str">
        <f>IF(B36="","",INDEX(Hesap!$C$5:$C$136,B36))</f>
        <v>Eklenti ekosistemi fırsat panosu ve bülteni</v>
      </c>
      <c r="E36" s="7" t="str">
        <f>IF(B36="","",INDEX(Hesap!$N$5:$N$136,B36))</f>
        <v>Değiştir</v>
      </c>
      <c r="F36" s="7" t="str">
        <f>IF(B36="","",INDEX(Hesap!$D$5:$D$136,B36))</f>
        <v>test</v>
      </c>
      <c r="G36" s="8">
        <f>IF(B36="","",INDEX(Hesap!$E$5:$E$136,B36))</f>
        <v>56.4</v>
      </c>
      <c r="H36" s="8">
        <f>IF(B36="","",INDEX(Hesap!$G$5:$G$136,B36))</f>
        <v>19.76</v>
      </c>
      <c r="I36" s="9">
        <f>IF(B36="","",INDEX(Hesap!$H$5:$H$136,B36))</f>
        <v>0.29</v>
      </c>
      <c r="J36" s="8">
        <f>IF(B36="","",INDEX(Hesap!$I$5:$I$136,B36))</f>
        <v>45</v>
      </c>
      <c r="K36" s="10">
        <f>IF(B36="","",INDEX(Hesap!$J$5:$J$136,B36))</f>
        <v>-21483</v>
      </c>
      <c r="L36" s="10">
        <f>IF(B36="","",INDEX(Finans!$AG$5:$AG$136,B36))</f>
        <v>-235.8177826564215</v>
      </c>
      <c r="M36" s="5">
        <f>IF(B36="","",INDEX(Finans!$K$5:$K$136,B36))</f>
        <v>63</v>
      </c>
      <c r="N36" s="5">
        <f>IF(B36="","",INDEX(Hesap!$T$5:$T$136,B36))</f>
        <v>71</v>
      </c>
      <c r="O36" s="6" t="str">
        <f>IF(B36="","",INDEX(Deneyler!$C$5:$C$136,B36))</f>
        <v>Türkiye'deki solo eklenti geliştiricisi aylık 399 TL'yi kaynaklı fırsat kartları için öder</v>
      </c>
    </row>
    <row r="37">
      <c r="A37" s="5" t="n">
        <v>33</v>
      </c>
      <c r="B37" s="5">
        <f>IFERROR(MATCH(A37,Hesap!$Q$5:$Q$136,0),"")</f>
        <v>49</v>
      </c>
      <c r="C37" s="6" t="str">
        <f>IF(B37="","",INDEX(Hesap!$B$5:$B$136,B37))</f>
        <v>Kuluçka ve BİGG uygulayıcıya white-label lisans</v>
      </c>
      <c r="D37" s="6" t="str">
        <f>IF(B37="","",INDEX(Hesap!$C$5:$C$136,B37))</f>
        <v>Strateji Simülatörü</v>
      </c>
      <c r="E37" s="7" t="str">
        <f>IF(B37="","",INDEX(Hesap!$N$5:$N$136,B37))</f>
        <v>Değiştir</v>
      </c>
      <c r="F37" s="7" t="str">
        <f>IF(B37="","",INDEX(Hesap!$D$5:$D$136,B37))</f>
        <v>test</v>
      </c>
      <c r="G37" s="8">
        <f>IF(B37="","",INDEX(Hesap!$E$5:$E$136,B37))</f>
        <v>48.6</v>
      </c>
      <c r="H37" s="8">
        <f>IF(B37="","",INDEX(Hesap!$G$5:$G$136,B37))</f>
        <v>19.7</v>
      </c>
      <c r="I37" s="9">
        <f>IF(B37="","",INDEX(Hesap!$H$5:$H$136,B37))</f>
        <v>0.43</v>
      </c>
      <c r="J37" s="8">
        <f>IF(B37="","",INDEX(Hesap!$I$5:$I$136,B37))</f>
        <v>50</v>
      </c>
      <c r="K37" s="10">
        <f>IF(B37="","",INDEX(Hesap!$J$5:$J$136,B37))</f>
        <v>11400</v>
      </c>
      <c r="L37" s="10">
        <f>IF(B37="","",INDEX(Finans!$AG$5:$AG$136,B37))</f>
        <v>123.9130434782609</v>
      </c>
      <c r="M37" s="5">
        <f>IF(B37="","",INDEX(Finans!$K$5:$K$136,B37))</f>
        <v>105</v>
      </c>
      <c r="N37" s="5">
        <f>IF(B37="","",INDEX(Hesap!$T$5:$T$136,B37))</f>
        <v>96</v>
      </c>
      <c r="O37" s="6" t="str">
        <f>IF(B37="","",INDEX(Deneyler!$C$5:$C$136,B37))</f>
        <v>Bir uygulayıcı kuruluş ücretsiz pilotun ardından yıllık lisans bedelini ödemeye razı olur</v>
      </c>
    </row>
    <row r="38">
      <c r="A38" s="5" t="n">
        <v>34</v>
      </c>
      <c r="B38" s="5">
        <f>IFERROR(MATCH(A38,Hesap!$Q$5:$Q$136,0),"")</f>
        <v>30</v>
      </c>
      <c r="C38" s="6" t="str">
        <f>IF(B38="","",INDEX(Hesap!$B$5:$B$136,B38))</f>
        <v>Türkiye uyum kurulumu: sabit fiyatlı hizmet</v>
      </c>
      <c r="D38" s="6" t="str">
        <f>IF(B38="","",INDEX(Hesap!$C$5:$C$136,B38))</f>
        <v>WordPress / WooCommerce Türkiye niş eklenti hattı</v>
      </c>
      <c r="E38" s="7" t="str">
        <f>IF(B38="","",INDEX(Hesap!$N$5:$N$136,B38))</f>
        <v>Değiştir</v>
      </c>
      <c r="F38" s="7" t="str">
        <f>IF(B38="","",INDEX(Hesap!$D$5:$D$136,B38))</f>
        <v>test</v>
      </c>
      <c r="G38" s="8">
        <f>IF(B38="","",INDEX(Hesap!$E$5:$E$136,B38))</f>
        <v>53.6</v>
      </c>
      <c r="H38" s="8">
        <f>IF(B38="","",INDEX(Hesap!$G$5:$G$136,B38))</f>
        <v>19.56</v>
      </c>
      <c r="I38" s="9">
        <f>IF(B38="","",INDEX(Hesap!$H$5:$H$136,B38))</f>
        <v>0.3</v>
      </c>
      <c r="J38" s="8">
        <f>IF(B38="","",INDEX(Hesap!$I$5:$I$136,B38))</f>
        <v>45</v>
      </c>
      <c r="K38" s="10">
        <f>IF(B38="","",INDEX(Hesap!$J$5:$J$136,B38))</f>
        <v>-3500</v>
      </c>
      <c r="L38" s="10">
        <f>IF(B38="","",INDEX(Finans!$AG$5:$AG$136,B38))</f>
        <v>-71.7948717948718</v>
      </c>
      <c r="M38" s="5">
        <f>IF(B38="","",INDEX(Finans!$K$5:$K$136,B38))</f>
        <v>14</v>
      </c>
      <c r="N38" s="5">
        <f>IF(B38="","",INDEX(Hesap!$T$5:$T$136,B38))</f>
        <v>6</v>
      </c>
      <c r="O38" s="6" t="str">
        <f>IF(B38="","",INDEX(Deneyler!$C$5:$C$136,B38))</f>
        <v>En az 3 site sahibi ya da ajans, sabit ₺2.500 fiyatla kurulum paketini satın alır</v>
      </c>
    </row>
    <row r="39">
      <c r="A39" s="5" t="n">
        <v>35</v>
      </c>
      <c r="B39" s="5">
        <f>IFERROR(MATCH(A39,Hesap!$Q$5:$Q$136,0),"")</f>
        <v>120</v>
      </c>
      <c r="C39" s="6" t="str">
        <f>IF(B39="","",INDEX(Hesap!$B$5:$B$136,B39))</f>
        <v>KOBİ ekip paketi: self-servis, aramadan gelen satış</v>
      </c>
      <c r="D39" s="6" t="str">
        <f>IF(B39="","",INDEX(Hesap!$C$5:$C$136,B39))</f>
        <v>signator (e-posta imzası üreticisi)</v>
      </c>
      <c r="E39" s="7" t="str">
        <f>IF(B39="","",INDEX(Hesap!$N$5:$N$136,B39))</f>
        <v>Değiştir</v>
      </c>
      <c r="F39" s="7" t="str">
        <f>IF(B39="","",INDEX(Hesap!$D$5:$D$136,B39))</f>
        <v>test</v>
      </c>
      <c r="G39" s="8">
        <f>IF(B39="","",INDEX(Hesap!$E$5:$E$136,B39))</f>
        <v>55.2</v>
      </c>
      <c r="H39" s="8">
        <f>IF(B39="","",INDEX(Hesap!$G$5:$G$136,B39))</f>
        <v>19.56</v>
      </c>
      <c r="I39" s="9">
        <f>IF(B39="","",INDEX(Hesap!$H$5:$H$136,B39))</f>
        <v>0.31</v>
      </c>
      <c r="J39" s="8">
        <f>IF(B39="","",INDEX(Hesap!$I$5:$I$136,B39))</f>
        <v>45</v>
      </c>
      <c r="K39" s="10">
        <f>IF(B39="","",INDEX(Hesap!$J$5:$J$136,B39))</f>
        <v>-2510</v>
      </c>
      <c r="L39" s="10">
        <f>IF(B39="","",INDEX(Finans!$AG$5:$AG$136,B39))</f>
        <v>-22.87015945330296</v>
      </c>
      <c r="M39" s="5">
        <f>IF(B39="","",INDEX(Finans!$K$5:$K$136,B39))</f>
        <v>45</v>
      </c>
      <c r="N39" s="5">
        <f>IF(B39="","",INDEX(Hesap!$T$5:$T$136,B39))</f>
        <v>97</v>
      </c>
      <c r="O39" s="6" t="str">
        <f>IF(B39="","",INDEX(Deneyler!$C$5:$C$136,B39))</f>
        <v>Aramadan gelen KOBİ ücretsiz araçla yetinmeyip ekip paketi için ödeme yapar</v>
      </c>
    </row>
    <row r="40">
      <c r="A40" s="5" t="n">
        <v>36</v>
      </c>
      <c r="B40" s="5">
        <f>IFERROR(MATCH(A40,Hesap!$Q$5:$Q$136,0),"")</f>
        <v>89</v>
      </c>
      <c r="C40" s="6" t="str">
        <f>IF(B40="","",INDEX(Hesap!$B$5:$B$136,B40))</f>
        <v>Yönetim paneli şablonu, 49 $ lisans</v>
      </c>
      <c r="D40" s="6" t="str">
        <f>IF(B40="","",INDEX(Hesap!$C$5:$C$136,B40))</f>
        <v>Geliştirici paneli desenleri (devpanel)</v>
      </c>
      <c r="E40" s="7" t="str">
        <f>IF(B40="","",INDEX(Hesap!$N$5:$N$136,B40))</f>
        <v>Değiştir</v>
      </c>
      <c r="F40" s="7" t="str">
        <f>IF(B40="","",INDEX(Hesap!$D$5:$D$136,B40))</f>
        <v>test</v>
      </c>
      <c r="G40" s="8">
        <f>IF(B40="","",INDEX(Hesap!$E$5:$E$136,B40))</f>
        <v>52.6</v>
      </c>
      <c r="H40" s="8">
        <f>IF(B40="","",INDEX(Hesap!$G$5:$G$136,B40))</f>
        <v>19.46</v>
      </c>
      <c r="I40" s="9">
        <f>IF(B40="","",INDEX(Hesap!$H$5:$H$136,B40))</f>
        <v>0.33</v>
      </c>
      <c r="J40" s="8">
        <f>IF(B40="","",INDEX(Hesap!$I$5:$I$136,B40))</f>
        <v>55</v>
      </c>
      <c r="K40" s="10">
        <f>IF(B40="","",INDEX(Hesap!$J$5:$J$136,B40))</f>
        <v>9360</v>
      </c>
      <c r="L40" s="10">
        <f>IF(B40="","",INDEX(Finans!$AG$5:$AG$136,B40))</f>
        <v>89.14285714285714</v>
      </c>
      <c r="M40" s="5">
        <f>IF(B40="","",INDEX(Finans!$K$5:$K$136,B40))</f>
        <v>50</v>
      </c>
      <c r="N40" s="5">
        <f>IF(B40="","",INDEX(Hesap!$T$5:$T$136,B40))</f>
        <v>8</v>
      </c>
      <c r="O40" s="6" t="str">
        <f>IF(B40="","",INDEX(Deneyler!$C$5:$C$136,B40))</f>
        <v>Tanınmamış bir satıcının şablonuna geliştiriciler ücretsiz Refine, shadcn ve ücretli Metronic varken 49 $ öder</v>
      </c>
    </row>
    <row r="41">
      <c r="A41" s="5" t="n">
        <v>37</v>
      </c>
      <c r="B41" s="5">
        <f>IFERROR(MATCH(A41,Hesap!$Q$5:$Q$136,0),"")</f>
        <v>35</v>
      </c>
      <c r="C41" s="6" t="str">
        <f>IF(B41="","",INDEX(Hesap!$B$5:$B$136,B41))</f>
        <v>Laboratuvar alıştırma paketi (öğrenenlere, arama ile)</v>
      </c>
      <c r="D41" s="6" t="str">
        <f>IF(B41="","",INDEX(Hesap!$C$5:$C$136,B41))</f>
        <v>Frontend Atlası (eğitim içeriği)</v>
      </c>
      <c r="E41" s="7" t="str">
        <f>IF(B41="","",INDEX(Hesap!$N$5:$N$136,B41))</f>
        <v>Değiştir</v>
      </c>
      <c r="F41" s="7" t="str">
        <f>IF(B41="","",INDEX(Hesap!$D$5:$D$136,B41))</f>
        <v>test</v>
      </c>
      <c r="G41" s="8">
        <f>IF(B41="","",INDEX(Hesap!$E$5:$E$136,B41))</f>
        <v>56.4</v>
      </c>
      <c r="H41" s="8">
        <f>IF(B41="","",INDEX(Hesap!$G$5:$G$136,B41))</f>
        <v>19.44</v>
      </c>
      <c r="I41" s="9">
        <f>IF(B41="","",INDEX(Hesap!$H$5:$H$136,B41))</f>
        <v>0.31</v>
      </c>
      <c r="J41" s="8">
        <f>IF(B41="","",INDEX(Hesap!$I$5:$I$136,B41))</f>
        <v>60</v>
      </c>
      <c r="K41" s="10">
        <f>IF(B41="","",INDEX(Hesap!$J$5:$J$136,B41))</f>
        <v>-7784</v>
      </c>
      <c r="L41" s="10">
        <f>IF(B41="","",INDEX(Finans!$AG$5:$AG$136,B41))</f>
        <v>-149.1187739463601</v>
      </c>
      <c r="M41" s="5">
        <f>IF(B41="","",INDEX(Finans!$K$5:$K$136,B41))</f>
        <v>49</v>
      </c>
      <c r="N41" s="5">
        <f>IF(B41="","",INDEX(Hesap!$T$5:$T$136,B41))</f>
        <v>70</v>
      </c>
      <c r="O41" s="6" t="str">
        <f>IF(B41="","",INDEX(Deneyler!$C$5:$C$136,B41))</f>
        <v>Öğrenenler ücretsiz dersler varken 349 ₺'lik çözümlü laboratuvar paketi için ödeme yapar</v>
      </c>
    </row>
    <row r="42">
      <c r="A42" s="5" t="n">
        <v>38</v>
      </c>
      <c r="B42" s="5">
        <f>IFERROR(MATCH(A42,Hesap!$Q$5:$Q$136,0),"")</f>
        <v>123</v>
      </c>
      <c r="C42" s="6" t="str">
        <f>IF(B42="","",INDEX(Hesap!$B$5:$B$136,B42))</f>
        <v>CrazyGames ve Yandex Games portal reklam geliri</v>
      </c>
      <c r="D42" s="6" t="str">
        <f>IF(B42="","",INDEX(Hesap!$C$5:$C$136,B42))</f>
        <v>Volley Tap (HTML5 arcade oyunu)</v>
      </c>
      <c r="E42" s="7" t="str">
        <f>IF(B42="","",INDEX(Hesap!$N$5:$N$136,B42))</f>
        <v>Değiştir</v>
      </c>
      <c r="F42" s="7" t="str">
        <f>IF(B42="","",INDEX(Hesap!$D$5:$D$136,B42))</f>
        <v>test</v>
      </c>
      <c r="G42" s="8">
        <f>IF(B42="","",INDEX(Hesap!$E$5:$E$136,B42))</f>
        <v>46.4</v>
      </c>
      <c r="H42" s="8">
        <f>IF(B42="","",INDEX(Hesap!$G$5:$G$136,B42))</f>
        <v>19.4</v>
      </c>
      <c r="I42" s="9">
        <f>IF(B42="","",INDEX(Hesap!$H$5:$H$136,B42))</f>
        <v>0.53</v>
      </c>
      <c r="J42" s="8">
        <f>IF(B42="","",INDEX(Hesap!$I$5:$I$136,B42))</f>
        <v>55</v>
      </c>
      <c r="K42" s="10">
        <f>IF(B42="","",INDEX(Hesap!$J$5:$J$136,B42))</f>
        <v>-4600</v>
      </c>
      <c r="L42" s="10">
        <f>IF(B42="","",INDEX(Finans!$AG$5:$AG$136,B42))</f>
        <v>-41.81818181818182</v>
      </c>
      <c r="M42" s="5">
        <f>IF(B42="","",INDEX(Finans!$K$5:$K$136,B42))</f>
        <v>75</v>
      </c>
      <c r="N42" s="5">
        <f>IF(B42="","",INDEX(Hesap!$T$5:$T$136,B42))</f>
        <v>108</v>
      </c>
      <c r="O42" s="6" t="str">
        <f>IF(B42="","",INDEX(Deneyler!$C$5:$C$136,B42))</f>
        <v>CrazyGames Basic Launch'ta ortalama oturum 3 dakika ve tekrar oynama %25'e ulaşır, Full Launch alır</v>
      </c>
    </row>
    <row r="43">
      <c r="A43" s="5" t="n">
        <v>39</v>
      </c>
      <c r="B43" s="5">
        <f>IFERROR(MATCH(A43,Hesap!$Q$5:$Q$136,0),"")</f>
        <v>58</v>
      </c>
      <c r="C43" s="6" t="str">
        <f>IF(B43="","",INDEX(Hesap!$B$5:$B$136,B43))</f>
        <v>Koruyucu Pro içinde Gözlem Paneli (tek seferlik lisans)</v>
      </c>
      <c r="D43" s="6" t="str">
        <f>IF(B43="","",INDEX(Hesap!$C$5:$C$136,B43))</f>
        <v>Ajan gözlem paneli</v>
      </c>
      <c r="E43" s="7" t="str">
        <f>IF(B43="","",INDEX(Hesap!$N$5:$N$136,B43))</f>
        <v>Değiştir</v>
      </c>
      <c r="F43" s="7" t="str">
        <f>IF(B43="","",INDEX(Hesap!$D$5:$D$136,B43))</f>
        <v>test</v>
      </c>
      <c r="G43" s="8">
        <f>IF(B43="","",INDEX(Hesap!$E$5:$E$136,B43))</f>
        <v>56</v>
      </c>
      <c r="H43" s="8">
        <f>IF(B43="","",INDEX(Hesap!$G$5:$G$136,B43))</f>
        <v>19.36</v>
      </c>
      <c r="I43" s="9">
        <f>IF(B43="","",INDEX(Hesap!$H$5:$H$136,B43))</f>
        <v>0.3</v>
      </c>
      <c r="J43" s="8">
        <f>IF(B43="","",INDEX(Hesap!$I$5:$I$136,B43))</f>
        <v>60</v>
      </c>
      <c r="K43" s="10">
        <f>IF(B43="","",INDEX(Hesap!$J$5:$J$136,B43))</f>
        <v>-4240</v>
      </c>
      <c r="L43" s="10">
        <f>IF(B43="","",INDEX(Finans!$AG$5:$AG$136,B43))</f>
        <v>-66.25</v>
      </c>
      <c r="M43" s="5">
        <f>IF(B43="","",INDEX(Finans!$K$5:$K$136,B43))</f>
        <v>60</v>
      </c>
      <c r="N43" s="5">
        <f>IF(B43="","",INDEX(Hesap!$T$5:$T$136,B43))</f>
        <v>50</v>
      </c>
      <c r="O43" s="6" t="str">
        <f>IF(B43="","",INDEX(Deneyler!$C$5:$C$136,B43))</f>
        <v>Geliştiriciler ücretsiz ccusage varken bellek ve maliyet birlikteliği için 19 USD öder</v>
      </c>
    </row>
    <row r="44">
      <c r="A44" s="5" t="n">
        <v>40</v>
      </c>
      <c r="B44" s="5">
        <f>IFERROR(MATCH(A44,Hesap!$Q$5:$Q$136,0),"")</f>
        <v>4</v>
      </c>
      <c r="C44" s="6" t="str">
        <f>IF(B44="","",INDEX(Hesap!$B$5:$B$136,B44))</f>
        <v>ParselQ Rapor: tek parsel bilgi notu (bireysel alıcı)</v>
      </c>
      <c r="D44" s="6" t="str">
        <f>IF(B44="","",INDEX(Hesap!$C$5:$C$136,B44))</f>
        <v>arsam.net / ParselQ (arsa raporu, emlakçı aracı, pazar yeri)</v>
      </c>
      <c r="E44" s="7" t="str">
        <f>IF(B44="","",INDEX(Hesap!$N$5:$N$136,B44))</f>
        <v>Değiştir</v>
      </c>
      <c r="F44" s="7" t="str">
        <f>IF(B44="","",INDEX(Hesap!$D$5:$D$136,B44))</f>
        <v>test</v>
      </c>
      <c r="G44" s="8">
        <f>IF(B44="","",INDEX(Hesap!$E$5:$E$136,B44))</f>
        <v>53.2</v>
      </c>
      <c r="H44" s="8">
        <f>IF(B44="","",INDEX(Hesap!$G$5:$G$136,B44))</f>
        <v>19.24</v>
      </c>
      <c r="I44" s="9">
        <f>IF(B44="","",INDEX(Hesap!$H$5:$H$136,B44))</f>
        <v>0.3</v>
      </c>
      <c r="J44" s="8">
        <f>IF(B44="","",INDEX(Hesap!$I$5:$I$136,B44))</f>
        <v>55</v>
      </c>
      <c r="K44" s="10">
        <f>IF(B44="","",INDEX(Hesap!$J$5:$J$136,B44))</f>
        <v>-43930</v>
      </c>
      <c r="L44" s="10">
        <f>IF(B44="","",INDEX(Finans!$AG$5:$AG$136,B44))</f>
        <v>-201.0526315789474</v>
      </c>
      <c r="M44" s="5">
        <f>IF(B44="","",INDEX(Finans!$K$5:$K$136,B44))</f>
        <v>35</v>
      </c>
      <c r="N44" s="5">
        <f>IF(B44="","",INDEX(Hesap!$T$5:$T$136,B44))</f>
        <v>79</v>
      </c>
      <c r="O44" s="6" t="str">
        <f>IF(B44="","",INDEX(Deneyler!$C$5:$C$136,B44))</f>
        <v>Bireysel alıcı ücretsiz ön kontrolden sonra 299-499 ₺ ödeyecek ve ikinci parsel için tekrar alacak</v>
      </c>
    </row>
    <row r="45">
      <c r="A45" s="5" t="n">
        <v>41</v>
      </c>
      <c r="B45" s="5">
        <f>IFERROR(MATCH(A45,Hesap!$Q$5:$Q$136,0),"")</f>
        <v>67</v>
      </c>
      <c r="C45" s="6" t="str">
        <f>IF(B45="","",INDEX(Hesap!$B$5:$B$136,B45))</f>
        <v>Ajans lisansı: 25 site için aylık müşteri sağlık raporu</v>
      </c>
      <c r="D45" s="6" t="str">
        <f>IF(B45="","",INDEX(Hesap!$C$5:$C$136,B45))</f>
        <v>WordPress site sağlığı ve pazarlama denetimi eklentisi (atonota)</v>
      </c>
      <c r="E45" s="7" t="str">
        <f>IF(B45="","",INDEX(Hesap!$N$5:$N$136,B45))</f>
        <v>Değiştir</v>
      </c>
      <c r="F45" s="7" t="str">
        <f>IF(B45="","",INDEX(Hesap!$D$5:$D$136,B45))</f>
        <v>test</v>
      </c>
      <c r="G45" s="8">
        <f>IF(B45="","",INDEX(Hesap!$E$5:$E$136,B45))</f>
        <v>53</v>
      </c>
      <c r="H45" s="8">
        <f>IF(B45="","",INDEX(Hesap!$G$5:$G$136,B45))</f>
        <v>19.14</v>
      </c>
      <c r="I45" s="9">
        <f>IF(B45="","",INDEX(Hesap!$H$5:$H$136,B45))</f>
        <v>0.31</v>
      </c>
      <c r="J45" s="8">
        <f>IF(B45="","",INDEX(Hesap!$I$5:$I$136,B45))</f>
        <v>50</v>
      </c>
      <c r="K45" s="10">
        <f>IF(B45="","",INDEX(Hesap!$J$5:$J$136,B45))</f>
        <v>-900</v>
      </c>
      <c r="L45" s="10">
        <f>IF(B45="","",INDEX(Finans!$AG$5:$AG$136,B45))</f>
        <v>-6.338028169014085</v>
      </c>
      <c r="M45" s="5">
        <f>IF(B45="","",INDEX(Finans!$K$5:$K$136,B45))</f>
        <v>45</v>
      </c>
      <c r="N45" s="5">
        <f>IF(B45="","",INDEX(Hesap!$T$5:$T$136,B45))</f>
        <v>80</v>
      </c>
      <c r="O45" s="6" t="str">
        <f>IF(B45="","",INDEX(Deneyler!$C$5:$C$136,B45))</f>
        <v>Ajans sahibi, otomatik logolu PDF için 7.150 TL/yıl öder ve ilk 3 sitede denemeden sonra lisansa geçer.</v>
      </c>
    </row>
    <row r="46">
      <c r="A46" s="5" t="n">
        <v>42</v>
      </c>
      <c r="B46" s="5">
        <f>IFERROR(MATCH(A46,Hesap!$Q$5:$Q$136,0),"")</f>
        <v>27</v>
      </c>
      <c r="C46" s="6" t="str">
        <f>IF(B46="","",INDEX(Hesap!$B$5:$B$136,B46))</f>
        <v>Katalog ve teklif formu sitesi (kumaş üreticisi)</v>
      </c>
      <c r="D46" s="6" t="str">
        <f>IF(B46="","",INDEX(Hesap!$C$5:$C$136,B46))</f>
        <v>Üretici KOBİ dijital başlangıç paketi</v>
      </c>
      <c r="E46" s="7" t="str">
        <f>IF(B46="","",INDEX(Hesap!$N$5:$N$136,B46))</f>
        <v>Değiştir</v>
      </c>
      <c r="F46" s="7" t="str">
        <f>IF(B46="","",INDEX(Hesap!$D$5:$D$136,B46))</f>
        <v>test</v>
      </c>
      <c r="G46" s="8">
        <f>IF(B46="","",INDEX(Hesap!$E$5:$E$136,B46))</f>
        <v>50.8</v>
      </c>
      <c r="H46" s="8">
        <f>IF(B46="","",INDEX(Hesap!$G$5:$G$136,B46))</f>
        <v>19</v>
      </c>
      <c r="I46" s="9">
        <f>IF(B46="","",INDEX(Hesap!$H$5:$H$136,B46))</f>
        <v>0.36</v>
      </c>
      <c r="J46" s="8">
        <f>IF(B46="","",INDEX(Hesap!$I$5:$I$136,B46))</f>
        <v>40</v>
      </c>
      <c r="K46" s="10">
        <f>IF(B46="","",INDEX(Hesap!$J$5:$J$136,B46))</f>
        <v>-30300</v>
      </c>
      <c r="L46" s="10">
        <f>IF(B46="","",INDEX(Finans!$AG$5:$AG$136,B46))</f>
        <v>-260.0858369098713</v>
      </c>
      <c r="M46" s="5">
        <f>IF(B46="","",INDEX(Finans!$K$5:$K$136,B46))</f>
        <v>35</v>
      </c>
      <c r="N46" s="5">
        <f>IF(B46="","",INDEX(Hesap!$T$5:$T$136,B46))</f>
        <v>66</v>
      </c>
      <c r="O46" s="6" t="str">
        <f>IF(B46="","",INDEX(Deneyler!$C$5:$C$136,B46))</f>
        <v>Üretici, ürün ve teklif bilgisini tek sayfada toplayan katalog sitesi için 45.000 ₺ öder.</v>
      </c>
    </row>
    <row r="47">
      <c r="A47" s="5" t="n">
        <v>43</v>
      </c>
      <c r="B47" s="5">
        <f>IFERROR(MATCH(A47,Hesap!$Q$5:$Q$136,0),"")</f>
        <v>61</v>
      </c>
      <c r="C47" s="6" t="str">
        <f>IF(B47="","",INDEX(Hesap!$B$5:$B$136,B47))</f>
        <v>Türkçe yapay zekâ öncelikli tasarım sistemi rehberi (e-kitap)</v>
      </c>
      <c r="D47" s="6" t="str">
        <f>IF(B47="","",INDEX(Hesap!$C$5:$C$136,B47))</f>
        <v>Yapay zekâ öncelikli tasarım sistemi rehberi</v>
      </c>
      <c r="E47" s="7" t="str">
        <f>IF(B47="","",INDEX(Hesap!$N$5:$N$136,B47))</f>
        <v>Değiştir</v>
      </c>
      <c r="F47" s="7" t="str">
        <f>IF(B47="","",INDEX(Hesap!$D$5:$D$136,B47))</f>
        <v>test</v>
      </c>
      <c r="G47" s="8">
        <f>IF(B47="","",INDEX(Hesap!$E$5:$E$136,B47))</f>
        <v>55.6</v>
      </c>
      <c r="H47" s="8">
        <f>IF(B47="","",INDEX(Hesap!$G$5:$G$136,B47))</f>
        <v>19</v>
      </c>
      <c r="I47" s="9">
        <f>IF(B47="","",INDEX(Hesap!$H$5:$H$136,B47))</f>
        <v>0.28</v>
      </c>
      <c r="J47" s="8">
        <f>IF(B47="","",INDEX(Hesap!$I$5:$I$136,B47))</f>
        <v>50</v>
      </c>
      <c r="K47" s="10">
        <f>IF(B47="","",INDEX(Hesap!$J$5:$J$136,B47))</f>
        <v>-10867</v>
      </c>
      <c r="L47" s="10">
        <f>IF(B47="","",INDEX(Finans!$AG$5:$AG$136,B47))</f>
        <v>-89.07377049180327</v>
      </c>
      <c r="M47" s="5">
        <f>IF(B47="","",INDEX(Finans!$K$5:$K$136,B47))</f>
        <v>55</v>
      </c>
      <c r="N47" s="5">
        <f>IF(B47="","",INDEX(Hesap!$T$5:$T$136,B47))</f>
        <v>72</v>
      </c>
      <c r="O47" s="6" t="str">
        <f>IF(B47="","",INDEX(Deneyler!$C$5:$C$136,B47))</f>
        <v>Türk frontend geliştiriciler Türkçe tasarım sistemi rehberine 399 ₺ ödemeye hazır</v>
      </c>
    </row>
    <row r="48">
      <c r="A48" s="5" t="n">
        <v>44</v>
      </c>
      <c r="B48" s="5">
        <f>IFERROR(MATCH(A48,Hesap!$Q$5:$Q$136,0),"")</f>
        <v>102</v>
      </c>
      <c r="C48" s="6" t="str">
        <f>IF(B48="","",INDEX(Hesap!$B$5:$B$136,B48))</f>
        <v>Günün Framework'ü: ücretsiz yan panel ve çalışma kâğıdı paketi</v>
      </c>
      <c r="D48" s="6" t="str">
        <f>IF(B48="","",INDEX(Hesap!$C$5:$C$136,B48))</f>
        <v>LifeOS (yeni sekme ve alışkanlık eklentisi)</v>
      </c>
      <c r="E48" s="7" t="str">
        <f>IF(B48="","",INDEX(Hesap!$N$5:$N$136,B48))</f>
        <v>Değiştir</v>
      </c>
      <c r="F48" s="7" t="str">
        <f>IF(B48="","",INDEX(Hesap!$D$5:$D$136,B48))</f>
        <v>test</v>
      </c>
      <c r="G48" s="8">
        <f>IF(B48="","",INDEX(Hesap!$E$5:$E$136,B48))</f>
        <v>53.8</v>
      </c>
      <c r="H48" s="8">
        <f>IF(B48="","",INDEX(Hesap!$G$5:$G$136,B48))</f>
        <v>18.94</v>
      </c>
      <c r="I48" s="9">
        <f>IF(B48="","",INDEX(Hesap!$H$5:$H$136,B48))</f>
        <v>0.27</v>
      </c>
      <c r="J48" s="8">
        <f>IF(B48="","",INDEX(Hesap!$I$5:$I$136,B48))</f>
        <v>55</v>
      </c>
      <c r="K48" s="10">
        <f>IF(B48="","",INDEX(Hesap!$J$5:$J$136,B48))</f>
        <v>-2710</v>
      </c>
      <c r="L48" s="10">
        <f>IF(B48="","",INDEX(Finans!$AG$5:$AG$136,B48))</f>
        <v>-24.08888888888889</v>
      </c>
      <c r="M48" s="5">
        <f>IF(B48="","",INDEX(Finans!$K$5:$K$136,B48))</f>
        <v>60</v>
      </c>
      <c r="N48" s="5">
        <f>IF(B48="","",INDEX(Hesap!$T$5:$T$136,B48))</f>
        <v>4</v>
      </c>
      <c r="O48" s="6" t="str">
        <f>IF(B48="","",INDEX(Deneyler!$C$5:$C$136,B48))</f>
        <v>Yöneticiler günün yöntemi serisinden sonra 199 TL'lik çalışma kâğıdını satın alır</v>
      </c>
    </row>
    <row r="49">
      <c r="A49" s="5" t="n">
        <v>45</v>
      </c>
      <c r="B49" s="5">
        <f>IFERROR(MATCH(A49,Hesap!$Q$5:$Q$136,0),"")</f>
        <v>14</v>
      </c>
      <c r="C49" s="6" t="str">
        <f>IF(B49="","",INDEX(Hesap!$B$5:$B$136,B49))</f>
        <v>Kahve zinciri dijital denetim raporu (2 hafta)</v>
      </c>
      <c r="D49" s="6" t="str">
        <f>IF(B49="","",INDEX(Hesap!$C$5:$C$136,B49))</f>
        <v>Kahve zinciri için dijital dönüşüm danışmanlığı</v>
      </c>
      <c r="E49" s="7" t="str">
        <f>IF(B49="","",INDEX(Hesap!$N$5:$N$136,B49))</f>
        <v>Değiştir</v>
      </c>
      <c r="F49" s="7" t="str">
        <f>IF(B49="","",INDEX(Hesap!$D$5:$D$136,B49))</f>
        <v>test</v>
      </c>
      <c r="G49" s="8">
        <f>IF(B49="","",INDEX(Hesap!$E$5:$E$136,B49))</f>
        <v>50</v>
      </c>
      <c r="H49" s="8">
        <f>IF(B49="","",INDEX(Hesap!$G$5:$G$136,B49))</f>
        <v>18.88</v>
      </c>
      <c r="I49" s="9">
        <f>IF(B49="","",INDEX(Hesap!$H$5:$H$136,B49))</f>
        <v>0.34</v>
      </c>
      <c r="J49" s="8">
        <f>IF(B49="","",INDEX(Hesap!$I$5:$I$136,B49))</f>
        <v>40</v>
      </c>
      <c r="K49" s="10">
        <f>IF(B49="","",INDEX(Hesap!$J$5:$J$136,B49))</f>
        <v>2000</v>
      </c>
      <c r="L49" s="10">
        <f>IF(B49="","",INDEX(Finans!$AG$5:$AG$136,B49))</f>
        <v>22.59887005649718</v>
      </c>
      <c r="M49" s="5">
        <f>IF(B49="","",INDEX(Finans!$K$5:$K$136,B49))</f>
        <v>30</v>
      </c>
      <c r="N49" s="5">
        <f>IF(B49="","",INDEX(Hesap!$T$5:$T$136,B49))</f>
        <v>36</v>
      </c>
      <c r="O49" s="6" t="str">
        <f>IF(B49="","",INDEX(Deneyler!$C$5:$C$136,B49))</f>
        <v>Soğuk ulaşılan zincir pazarlama müdürü, tanışıklık olmadan 30.000 TL ödeyerek denetim ister.</v>
      </c>
    </row>
    <row r="50">
      <c r="A50" s="5" t="n">
        <v>46</v>
      </c>
      <c r="B50" s="5">
        <f>IFERROR(MATCH(A50,Hesap!$Q$5:$Q$136,0),"")</f>
        <v>54</v>
      </c>
      <c r="C50" s="6" t="str">
        <f>IF(B50="","",INDEX(Hesap!$B$5:$B$136,B50))</f>
        <v>Orkestratör ortaklığı ve kurumsal sponsorluk (kabul API'si)</v>
      </c>
      <c r="D50" s="6" t="str">
        <f>IF(B50="","",INDEX(Hesap!$C$5:$C$136,B50))</f>
        <v>Yapay zekâ ajanı kaynak ve maliyet koruyucu</v>
      </c>
      <c r="E50" s="7" t="str">
        <f>IF(B50="","",INDEX(Hesap!$N$5:$N$136,B50))</f>
        <v>Değiştir</v>
      </c>
      <c r="F50" s="7" t="str">
        <f>IF(B50="","",INDEX(Hesap!$D$5:$D$136,B50))</f>
        <v>test</v>
      </c>
      <c r="G50" s="8">
        <f>IF(B50="","",INDEX(Hesap!$E$5:$E$136,B50))</f>
        <v>48.4</v>
      </c>
      <c r="H50" s="8">
        <f>IF(B50="","",INDEX(Hesap!$G$5:$G$136,B50))</f>
        <v>18.68</v>
      </c>
      <c r="I50" s="9">
        <f>IF(B50="","",INDEX(Hesap!$H$5:$H$136,B50))</f>
        <v>0.41</v>
      </c>
      <c r="J50" s="8">
        <f>IF(B50="","",INDEX(Hesap!$I$5:$I$136,B50))</f>
        <v>45</v>
      </c>
      <c r="K50" s="10">
        <f>IF(B50="","",INDEX(Hesap!$J$5:$J$136,B50))</f>
        <v>1004</v>
      </c>
      <c r="L50" s="10">
        <f>IF(B50="","",INDEX(Finans!$AG$5:$AG$136,B50))</f>
        <v>28.28169014084507</v>
      </c>
      <c r="M50" s="5">
        <f>IF(B50="","",INDEX(Finans!$K$5:$K$136,B50))</f>
        <v>28</v>
      </c>
      <c r="N50" s="5">
        <f>IF(B50="","",INDEX(Hesap!$T$5:$T$136,B50))</f>
        <v>23</v>
      </c>
      <c r="O50" s="6" t="str">
        <f>IF(B50="","",INDEX(Deneyler!$C$5:$C$136,B50))</f>
        <v>Bir orkestratör şirketi kabul API'si karşılığında ayda 64 $ sponsor olur</v>
      </c>
    </row>
    <row r="51">
      <c r="A51" s="5" t="n">
        <v>47</v>
      </c>
      <c r="B51" s="5">
        <f>IFERROR(MATCH(A51,Hesap!$Q$5:$Q$136,0),"")</f>
        <v>71</v>
      </c>
      <c r="C51" s="6" t="str">
        <f>IF(B51="","",INDEX(Hesap!$B$5:$B$136,B51))</f>
        <v>Astro ve Tailwind ürün sayfası şablonu (kod satışı)</v>
      </c>
      <c r="D51" s="6" t="str">
        <f>IF(B51="","",INDEX(Hesap!$C$5:$C$136,B51))</f>
        <v>B2B ürün sayfası ve animasyon bileşenleri</v>
      </c>
      <c r="E51" s="7" t="str">
        <f>IF(B51="","",INDEX(Hesap!$N$5:$N$136,B51))</f>
        <v>Değiştir</v>
      </c>
      <c r="F51" s="7" t="str">
        <f>IF(B51="","",INDEX(Hesap!$D$5:$D$136,B51))</f>
        <v>test</v>
      </c>
      <c r="G51" s="8">
        <f>IF(B51="","",INDEX(Hesap!$E$5:$E$136,B51))</f>
        <v>50.6</v>
      </c>
      <c r="H51" s="8">
        <f>IF(B51="","",INDEX(Hesap!$G$5:$G$136,B51))</f>
        <v>18.62</v>
      </c>
      <c r="I51" s="9">
        <f>IF(B51="","",INDEX(Hesap!$H$5:$H$136,B51))</f>
        <v>0.36</v>
      </c>
      <c r="J51" s="8">
        <f>IF(B51="","",INDEX(Hesap!$I$5:$I$136,B51))</f>
        <v>50</v>
      </c>
      <c r="K51" s="10">
        <f>IF(B51="","",INDEX(Hesap!$J$5:$J$136,B51))</f>
        <v>-9080</v>
      </c>
      <c r="L51" s="10">
        <f>IF(B51="","",INDEX(Finans!$AG$5:$AG$136,B51))</f>
        <v>-69.04942965779468</v>
      </c>
      <c r="M51" s="5">
        <f>IF(B51="","",INDEX(Finans!$K$5:$K$136,B51))</f>
        <v>90</v>
      </c>
      <c r="N51" s="5">
        <f>IF(B51="","",INDEX(Hesap!$T$5:$T$136,B51))</f>
        <v>89</v>
      </c>
      <c r="O51" s="6" t="str">
        <f>IF(B51="","",INDEX(Deneyler!$C$5:$C$136,B51))</f>
        <v>Ücretsiz alternatifler varken geliştiriciler 49 $'a B2B ürün sayfası şablonu alır</v>
      </c>
    </row>
    <row r="52">
      <c r="A52" s="5" t="n">
        <v>48</v>
      </c>
      <c r="B52" s="5">
        <f>IFERROR(MATCH(A52,Hesap!$Q$5:$Q$136,0),"")</f>
        <v>69</v>
      </c>
      <c r="C52" s="6" t="str">
        <f>IF(B52="","",INDEX(Hesap!$B$5:$B$136,B52))</f>
        <v>Site paketine ek: ürün sayfası ve hareket blokları</v>
      </c>
      <c r="D52" s="6" t="str">
        <f>IF(B52="","",INDEX(Hesap!$C$5:$C$136,B52))</f>
        <v>B2B ürün sayfası ve animasyon bileşenleri</v>
      </c>
      <c r="E52" s="7" t="str">
        <f>IF(B52="","",INDEX(Hesap!$N$5:$N$136,B52))</f>
        <v>Değiştir</v>
      </c>
      <c r="F52" s="7" t="str">
        <f>IF(B52="","",INDEX(Hesap!$D$5:$D$136,B52))</f>
        <v>test</v>
      </c>
      <c r="G52" s="8">
        <f>IF(B52="","",INDEX(Hesap!$E$5:$E$136,B52))</f>
        <v>51.8</v>
      </c>
      <c r="H52" s="8">
        <f>IF(B52="","",INDEX(Hesap!$G$5:$G$136,B52))</f>
        <v>18.46</v>
      </c>
      <c r="I52" s="9">
        <f>IF(B52="","",INDEX(Hesap!$H$5:$H$136,B52))</f>
        <v>0.21</v>
      </c>
      <c r="J52" s="8">
        <f>IF(B52="","",INDEX(Hesap!$I$5:$I$136,B52))</f>
        <v>45</v>
      </c>
      <c r="K52" s="10">
        <f>IF(B52="","",INDEX(Hesap!$J$5:$J$136,B52))</f>
        <v>13500</v>
      </c>
      <c r="L52" s="10">
        <f>IF(B52="","",INDEX(Finans!$AG$5:$AG$136,B52))</f>
        <v>82.3170731707317</v>
      </c>
      <c r="M52" s="5">
        <f>IF(B52="","",INDEX(Finans!$K$5:$K$136,B52))</f>
        <v>60</v>
      </c>
      <c r="N52" s="5">
        <f>IF(B52="","",INDEX(Hesap!$T$5:$T$136,B52))</f>
        <v>84</v>
      </c>
      <c r="O52" s="6" t="str">
        <f>IF(B52="","",INDEX(Deneyler!$C$5:$C$136,B52))</f>
        <v>Mevcut site müşterisi, önce/sonra ekran görüntüsünü görünce site paketine 20.000 ₺'lik ürün sayfası bloğunu ekletir</v>
      </c>
    </row>
    <row r="53">
      <c r="A53" s="5" t="n">
        <v>49</v>
      </c>
      <c r="B53" s="5">
        <f>IFERROR(MATCH(A53,Hesap!$Q$5:$Q$136,0),"")</f>
        <v>73</v>
      </c>
      <c r="C53" s="6" t="str">
        <f>IF(B53="","",INDEX(Hesap!$B$5:$B$136,B53))</f>
        <v>Sosyal görsel hizmet paketi (sabit kapsam)</v>
      </c>
      <c r="D53" s="6" t="str">
        <f>IF(B53="","",INDEX(Hesap!$C$5:$C$136,B53))</f>
        <v>Banner ve gönderi üretim sistemi</v>
      </c>
      <c r="E53" s="7" t="str">
        <f>IF(B53="","",INDEX(Hesap!$N$5:$N$136,B53))</f>
        <v>Değiştir</v>
      </c>
      <c r="F53" s="7" t="str">
        <f>IF(B53="","",INDEX(Hesap!$D$5:$D$136,B53))</f>
        <v>test</v>
      </c>
      <c r="G53" s="8">
        <f>IF(B53="","",INDEX(Hesap!$E$5:$E$136,B53))</f>
        <v>51</v>
      </c>
      <c r="H53" s="8">
        <f>IF(B53="","",INDEX(Hesap!$G$5:$G$136,B53))</f>
        <v>18.38</v>
      </c>
      <c r="I53" s="9">
        <f>IF(B53="","",INDEX(Hesap!$H$5:$H$136,B53))</f>
        <v>0.26</v>
      </c>
      <c r="J53" s="8">
        <f>IF(B53="","",INDEX(Hesap!$I$5:$I$136,B53))</f>
        <v>35</v>
      </c>
      <c r="K53" s="10">
        <f>IF(B53="","",INDEX(Hesap!$J$5:$J$136,B53))</f>
        <v>7800</v>
      </c>
      <c r="L53" s="10">
        <f>IF(B53="","",INDEX(Finans!$AG$5:$AG$136,B53))</f>
        <v>125.8064516129032</v>
      </c>
      <c r="M53" s="5">
        <f>IF(B53="","",INDEX(Finans!$K$5:$K$136,B53))</f>
        <v>14</v>
      </c>
      <c r="N53" s="5">
        <f>IF(B53="","",INDEX(Hesap!$T$5:$T$136,B53))</f>
        <v>9</v>
      </c>
      <c r="O53" s="6" t="str">
        <f>IF(B53="","",INDEX(Deneyler!$C$5:$C$136,B53))</f>
        <v>Mevcut müşteriler ayda ₺7.500 ödemeye razı olur</v>
      </c>
    </row>
    <row r="54">
      <c r="A54" s="5" t="n">
        <v>50</v>
      </c>
      <c r="B54" s="5">
        <f>IFERROR(MATCH(A54,Hesap!$Q$5:$Q$136,0),"")</f>
        <v>76</v>
      </c>
      <c r="C54" s="6" t="str">
        <f>IF(B54="","",INDEX(Hesap!$B$5:$B$136,B54))</f>
        <v>Proje başı stack karar dosyası (sabit kapsamlı hizmet)</v>
      </c>
      <c r="D54" s="6" t="str">
        <f>IF(B54="","",INDEX(Hesap!$C$5:$C$136,B54))</f>
        <v>Teknoloji yığını karar sihirbazı</v>
      </c>
      <c r="E54" s="7" t="str">
        <f>IF(B54="","",INDEX(Hesap!$N$5:$N$136,B54))</f>
        <v>Değiştir</v>
      </c>
      <c r="F54" s="7" t="str">
        <f>IF(B54="","",INDEX(Hesap!$D$5:$D$136,B54))</f>
        <v>test</v>
      </c>
      <c r="G54" s="8">
        <f>IF(B54="","",INDEX(Hesap!$E$5:$E$136,B54))</f>
        <v>50.8</v>
      </c>
      <c r="H54" s="8">
        <f>IF(B54="","",INDEX(Hesap!$G$5:$G$136,B54))</f>
        <v>18.2</v>
      </c>
      <c r="I54" s="9">
        <f>IF(B54="","",INDEX(Hesap!$H$5:$H$136,B54))</f>
        <v>0.27</v>
      </c>
      <c r="J54" s="8">
        <f>IF(B54="","",INDEX(Hesap!$I$5:$I$136,B54))</f>
        <v>35</v>
      </c>
      <c r="K54" s="10">
        <f>IF(B54="","",INDEX(Hesap!$J$5:$J$136,B54))</f>
        <v>-4000</v>
      </c>
      <c r="L54" s="10">
        <f>IF(B54="","",INDEX(Finans!$AG$5:$AG$136,B54))</f>
        <v>-53.69127516778524</v>
      </c>
      <c r="M54" s="5">
        <f>IF(B54="","",INDEX(Finans!$K$5:$K$136,B54))</f>
        <v>14</v>
      </c>
      <c r="N54" s="5">
        <f>IF(B54="","",INDEX(Hesap!$T$5:$T$136,B54))</f>
        <v>65</v>
      </c>
      <c r="O54" s="6" t="str">
        <f>IF(B54="","",INDEX(Deneyler!$C$5:$C$136,B54))</f>
        <v>Ajanslar, tek projelik gerekçeli stack kararı için ön ödemesiz de olsa 6.000 ₺ öder</v>
      </c>
    </row>
    <row r="55">
      <c r="A55" s="5" t="n">
        <v>51</v>
      </c>
      <c r="B55" s="5">
        <f>IFERROR(MATCH(A55,Hesap!$Q$5:$Q$136,0),"")</f>
        <v>31</v>
      </c>
      <c r="C55" s="6" t="str">
        <f>IF(B55="","",INDEX(Hesap!$B$5:$B$136,B55))</f>
        <v>Pro lisansı: bilgi çalışanı ve yapay zekâ kullanıcısı</v>
      </c>
      <c r="D55" s="6" t="str">
        <f>IF(B55="","",INDEX(Hesap!$C$5:$C$136,B55))</f>
        <v>qral (hızlı başvuru bağlantıları Chrome uzantısı)</v>
      </c>
      <c r="E55" s="7" t="str">
        <f>IF(B55="","",INDEX(Hesap!$N$5:$N$136,B55))</f>
        <v>Değiştir</v>
      </c>
      <c r="F55" s="7" t="str">
        <f>IF(B55="","",INDEX(Hesap!$D$5:$D$136,B55))</f>
        <v>test</v>
      </c>
      <c r="G55" s="8">
        <f>IF(B55="","",INDEX(Hesap!$E$5:$E$136,B55))</f>
        <v>47</v>
      </c>
      <c r="H55" s="8">
        <f>IF(B55="","",INDEX(Hesap!$G$5:$G$136,B55))</f>
        <v>18.18</v>
      </c>
      <c r="I55" s="9">
        <f>IF(B55="","",INDEX(Hesap!$H$5:$H$136,B55))</f>
        <v>0.42</v>
      </c>
      <c r="J55" s="8">
        <f>IF(B55="","",INDEX(Hesap!$I$5:$I$136,B55))</f>
        <v>50</v>
      </c>
      <c r="K55" s="10">
        <f>IF(B55="","",INDEX(Hesap!$J$5:$J$136,B55))</f>
        <v>-4872</v>
      </c>
      <c r="L55" s="10">
        <f>IF(B55="","",INDEX(Finans!$AG$5:$AG$136,B55))</f>
        <v>-49.71428571428572</v>
      </c>
      <c r="M55" s="5">
        <f>IF(B55="","",INDEX(Finans!$K$5:$K$136,B55))</f>
        <v>75</v>
      </c>
      <c r="N55" s="5">
        <f>IF(B55="","",INDEX(Hesap!$T$5:$T$136,B55))</f>
        <v>41</v>
      </c>
      <c r="O55" s="6" t="str">
        <f>IF(B55="","",INDEX(Deneyler!$C$5:$C$136,B55))</f>
        <v>Ücretsiz rakipler varken bireysel kullanıcı kaynak bloğu ve geçmiş için tek seferlik ödeme yapar.</v>
      </c>
    </row>
    <row r="56">
      <c r="A56" s="5" t="n">
        <v>52</v>
      </c>
      <c r="B56" s="5">
        <f>IFERROR(MATCH(A56,Hesap!$Q$5:$Q$136,0),"")</f>
        <v>94</v>
      </c>
      <c r="C56" s="6" t="str">
        <f>IF(B56="","",INDEX(Hesap!$B$5:$B$136,B56))</f>
        <v>Keşif Paketi: tek seferlik eklenti fırsat seti</v>
      </c>
      <c r="D56" s="6" t="str">
        <f>IF(B56="","",INDEX(Hesap!$C$5:$C$136,B56))</f>
        <v>Eklenti ekosistemi fırsat panosu ve bülteni</v>
      </c>
      <c r="E56" s="7" t="str">
        <f>IF(B56="","",INDEX(Hesap!$N$5:$N$136,B56))</f>
        <v>Değiştir</v>
      </c>
      <c r="F56" s="7" t="str">
        <f>IF(B56="","",INDEX(Hesap!$D$5:$D$136,B56))</f>
        <v>test</v>
      </c>
      <c r="G56" s="8">
        <f>IF(B56="","",INDEX(Hesap!$E$5:$E$136,B56))</f>
        <v>54.2</v>
      </c>
      <c r="H56" s="8">
        <f>IF(B56="","",INDEX(Hesap!$G$5:$G$136,B56))</f>
        <v>18.14</v>
      </c>
      <c r="I56" s="9">
        <f>IF(B56="","",INDEX(Hesap!$H$5:$H$136,B56))</f>
        <v>0.21</v>
      </c>
      <c r="J56" s="8">
        <f>IF(B56="","",INDEX(Hesap!$I$5:$I$136,B56))</f>
        <v>50</v>
      </c>
      <c r="K56" s="10">
        <f>IF(B56="","",INDEX(Hesap!$J$5:$J$136,B56))</f>
        <v>1880</v>
      </c>
      <c r="L56" s="10">
        <f>IF(B56="","",INDEX(Finans!$AG$5:$AG$136,B56))</f>
        <v>72.3076923076923</v>
      </c>
      <c r="M56" s="5">
        <f>IF(B56="","",INDEX(Finans!$K$5:$K$136,B56))</f>
        <v>45</v>
      </c>
      <c r="N56" s="5">
        <f>IF(B56="","",INDEX(Hesap!$T$5:$T$136,B56))</f>
        <v>28</v>
      </c>
      <c r="O56" s="6" t="str">
        <f>IF(B56="","",INDEX(Deneyler!$C$5:$C$136,B56))</f>
        <v>Geliştirici ücretsiz panoyu gördükten sonra paketi 349 TL'ye satın alır</v>
      </c>
    </row>
    <row r="57">
      <c r="A57" s="5" t="n">
        <v>53</v>
      </c>
      <c r="B57" s="5">
        <f>IFERROR(MATCH(A57,Hesap!$Q$5:$Q$136,0),"")</f>
        <v>29</v>
      </c>
      <c r="C57" s="6" t="str">
        <f>IF(B57="","",INDEX(Hesap!$B$5:$B$136,B57))</f>
        <v>Taksit Tablosu ve Kapıda Ödeme Pro: tek mağaza</v>
      </c>
      <c r="D57" s="6" t="str">
        <f>IF(B57="","",INDEX(Hesap!$C$5:$C$136,B57))</f>
        <v>WordPress / WooCommerce Türkiye niş eklenti hattı</v>
      </c>
      <c r="E57" s="7" t="str">
        <f>IF(B57="","",INDEX(Hesap!$N$5:$N$136,B57))</f>
        <v>Değiştir</v>
      </c>
      <c r="F57" s="7" t="str">
        <f>IF(B57="","",INDEX(Hesap!$D$5:$D$136,B57))</f>
        <v>test</v>
      </c>
      <c r="G57" s="8">
        <f>IF(B57="","",INDEX(Hesap!$E$5:$E$136,B57))</f>
        <v>52</v>
      </c>
      <c r="H57" s="8">
        <f>IF(B57="","",INDEX(Hesap!$G$5:$G$136,B57))</f>
        <v>18.04</v>
      </c>
      <c r="I57" s="9">
        <f>IF(B57="","",INDEX(Hesap!$H$5:$H$136,B57))</f>
        <v>0.18</v>
      </c>
      <c r="J57" s="8">
        <f>IF(B57="","",INDEX(Hesap!$I$5:$I$136,B57))</f>
        <v>55</v>
      </c>
      <c r="K57" s="10">
        <f>IF(B57="","",INDEX(Hesap!$J$5:$J$136,B57))</f>
        <v>-16666</v>
      </c>
      <c r="L57" s="10">
        <f>IF(B57="","",INDEX(Finans!$AG$5:$AG$136,B57))</f>
        <v>-126.417193426043</v>
      </c>
      <c r="M57" s="5">
        <f>IF(B57="","",INDEX(Finans!$K$5:$K$136,B57))</f>
        <v>100</v>
      </c>
      <c r="N57" s="5">
        <f>IF(B57="","",INDEX(Hesap!$T$5:$T$136,B57))</f>
        <v>7</v>
      </c>
      <c r="O57" s="6" t="str">
        <f>IF(B57="","",INDEX(Deneyler!$C$5:$C$136,B57))</f>
        <v>Mağaza sahipleri kapıda ödeme kuralı için kod yazılmadan önce ücret öder</v>
      </c>
    </row>
    <row r="58">
      <c r="A58" s="5" t="n">
        <v>54</v>
      </c>
      <c r="B58" s="5">
        <f>IFERROR(MATCH(A58,Hesap!$Q$5:$Q$136,0),"")</f>
        <v>34</v>
      </c>
      <c r="C58" s="6" t="str">
        <f>IF(B58="","",INDEX(Hesap!$B$5:$B$136,B58))</f>
        <v>Eğitmen lisansı ve AI ile Eğitim Sitesi Kiti</v>
      </c>
      <c r="D58" s="6" t="str">
        <f>IF(B58="","",INDEX(Hesap!$C$5:$C$136,B58))</f>
        <v>Frontend Atlası (eğitim içeriği)</v>
      </c>
      <c r="E58" s="7" t="str">
        <f>IF(B58="","",INDEX(Hesap!$N$5:$N$136,B58))</f>
        <v>Değiştir</v>
      </c>
      <c r="F58" s="7" t="str">
        <f>IF(B58="","",INDEX(Hesap!$D$5:$D$136,B58))</f>
        <v>test</v>
      </c>
      <c r="G58" s="8">
        <f>IF(B58="","",INDEX(Hesap!$E$5:$E$136,B58))</f>
        <v>52</v>
      </c>
      <c r="H58" s="8">
        <f>IF(B58="","",INDEX(Hesap!$G$5:$G$136,B58))</f>
        <v>18.04</v>
      </c>
      <c r="I58" s="9">
        <f>IF(B58="","",INDEX(Hesap!$H$5:$H$136,B58))</f>
        <v>0.28</v>
      </c>
      <c r="J58" s="8">
        <f>IF(B58="","",INDEX(Hesap!$I$5:$I$136,B58))</f>
        <v>45</v>
      </c>
      <c r="K58" s="10">
        <f>IF(B58="","",INDEX(Hesap!$J$5:$J$136,B58))</f>
        <v>-18694</v>
      </c>
      <c r="L58" s="10">
        <f>IF(B58="","",INDEX(Finans!$AG$5:$AG$136,B58))</f>
        <v>-251.7710437710438</v>
      </c>
      <c r="M58" s="5">
        <f>IF(B58="","",INDEX(Finans!$K$5:$K$136,B58))</f>
        <v>28</v>
      </c>
      <c r="N58" s="5">
        <f>IF(B58="","",INDEX(Hesap!$T$5:$T$136,B58))</f>
        <v>61</v>
      </c>
      <c r="O58" s="6" t="str">
        <f>IF(B58="","",INDEX(Deneyler!$C$5:$C$136,B58))</f>
        <v>Eğitmenler kendi müfredat sitesi için kiti ve lisansı bu fiyatla ödemeye razı</v>
      </c>
    </row>
    <row r="59">
      <c r="A59" s="5" t="n">
        <v>55</v>
      </c>
      <c r="B59" s="5">
        <f>IFERROR(MATCH(A59,Hesap!$Q$5:$Q$136,0),"")</f>
        <v>121</v>
      </c>
      <c r="C59" s="6" t="str">
        <f>IF(B59="","",INDEX(Hesap!$B$5:$B$136,B59))</f>
        <v>Sabit fiyatlı ekip imzası kurulum paketi</v>
      </c>
      <c r="D59" s="6" t="str">
        <f>IF(B59="","",INDEX(Hesap!$C$5:$C$136,B59))</f>
        <v>signator (e-posta imzası üreticisi)</v>
      </c>
      <c r="E59" s="7" t="str">
        <f>IF(B59="","",INDEX(Hesap!$N$5:$N$136,B59))</f>
        <v>Değiştir</v>
      </c>
      <c r="F59" s="7" t="str">
        <f>IF(B59="","",INDEX(Hesap!$D$5:$D$136,B59))</f>
        <v>test</v>
      </c>
      <c r="G59" s="8">
        <f>IF(B59="","",INDEX(Hesap!$E$5:$E$136,B59))</f>
        <v>55</v>
      </c>
      <c r="H59" s="8">
        <f>IF(B59="","",INDEX(Hesap!$G$5:$G$136,B59))</f>
        <v>17.78</v>
      </c>
      <c r="I59" s="9">
        <f>IF(B59="","",INDEX(Hesap!$H$5:$H$136,B59))</f>
        <v>0.12</v>
      </c>
      <c r="J59" s="8">
        <f>IF(B59="","",INDEX(Hesap!$I$5:$I$136,B59))</f>
        <v>35</v>
      </c>
      <c r="K59" s="10">
        <f>IF(B59="","",INDEX(Hesap!$J$5:$J$136,B59))</f>
        <v>2300</v>
      </c>
      <c r="L59" s="10">
        <f>IF(B59="","",INDEX(Finans!$AG$5:$AG$136,B59))</f>
        <v>51.11111111111111</v>
      </c>
      <c r="M59" s="5">
        <f>IF(B59="","",INDEX(Finans!$K$5:$K$136,B59))</f>
        <v>7</v>
      </c>
      <c r="N59" s="5">
        <f>IF(B59="","",INDEX(Hesap!$T$5:$T$136,B59))</f>
        <v>11</v>
      </c>
      <c r="O59" s="6" t="str">
        <f>IF(B59="","",INDEX(Deneyler!$C$5:$C$136,B59))</f>
        <v>Bir şirket 5 kişilik imza kurulumuna sabit 1.000 TL öder</v>
      </c>
    </row>
    <row r="60">
      <c r="A60" s="5" t="n">
        <v>56</v>
      </c>
      <c r="B60" s="5">
        <f>IFERROR(MATCH(A60,Hesap!$Q$5:$Q$136,0),"")</f>
        <v>43</v>
      </c>
      <c r="C60" s="6" t="str">
        <f>IF(B60="","",INDEX(Hesap!$B$5:$B$136,B60))</f>
        <v>Acente paneli: 90 günlük pilot, sonra abonelik</v>
      </c>
      <c r="D60" s="6" t="str">
        <f>IF(B60="","",INDEX(Hesap!$C$5:$C$136,B60))</f>
        <v>Vize acentesi operasyon platformu</v>
      </c>
      <c r="E60" s="7" t="str">
        <f>IF(B60="","",INDEX(Hesap!$N$5:$N$136,B60))</f>
        <v>Değiştir</v>
      </c>
      <c r="F60" s="7" t="str">
        <f>IF(B60="","",INDEX(Hesap!$D$5:$D$136,B60))</f>
        <v>test</v>
      </c>
      <c r="G60" s="8">
        <f>IF(B60="","",INDEX(Hesap!$E$5:$E$136,B60))</f>
        <v>48.2</v>
      </c>
      <c r="H60" s="8">
        <f>IF(B60="","",INDEX(Hesap!$G$5:$G$136,B60))</f>
        <v>17.7</v>
      </c>
      <c r="I60" s="9">
        <f>IF(B60="","",INDEX(Hesap!$H$5:$H$136,B60))</f>
        <v>0.35</v>
      </c>
      <c r="J60" s="8">
        <f>IF(B60="","",INDEX(Hesap!$I$5:$I$136,B60))</f>
        <v>45</v>
      </c>
      <c r="K60" s="10">
        <f>IF(B60="","",INDEX(Hesap!$J$5:$J$136,B60))</f>
        <v>-62385</v>
      </c>
      <c r="L60" s="10">
        <f>IF(B60="","",INDEX(Finans!$AG$5:$AG$136,B60))</f>
        <v>-292.887323943662</v>
      </c>
      <c r="M60" s="5">
        <f>IF(B60="","",INDEX(Finans!$K$5:$K$136,B60))</f>
        <v>75</v>
      </c>
      <c r="N60" s="5">
        <f>IF(B60="","",INDEX(Hesap!$T$5:$T$136,B60))</f>
        <v>110</v>
      </c>
      <c r="O60" s="6" t="str">
        <f>IF(B60="","",INDEX(Deneyler!$C$5:$C$136,B60))</f>
        <v>Acenteler dosya paneline ücret öder ve personeli haftada 5 gün kullanır</v>
      </c>
    </row>
    <row r="61">
      <c r="A61" s="5" t="n">
        <v>57</v>
      </c>
      <c r="B61" s="5">
        <f>IFERROR(MATCH(A61,Hesap!$Q$5:$Q$136,0),"")</f>
        <v>106</v>
      </c>
      <c r="C61" s="6" t="str">
        <f>IF(B61="","",INDEX(Hesap!$B$5:$B$136,B61))</f>
        <v>Destekli cam arayüz yolculuk kiti (ajans ve freelancer)</v>
      </c>
      <c r="D61" s="6" t="str">
        <f>IF(B61="","",INDEX(Hesap!$C$5:$C$136,B61))</f>
        <v>Liquid glass bileşen kütüphanesi ve emlakçı CRM Lite</v>
      </c>
      <c r="E61" s="7" t="str">
        <f>IF(B61="","",INDEX(Hesap!$N$5:$N$136,B61))</f>
        <v>Değiştir</v>
      </c>
      <c r="F61" s="7" t="str">
        <f>IF(B61="","",INDEX(Hesap!$D$5:$D$136,B61))</f>
        <v>test</v>
      </c>
      <c r="G61" s="8">
        <f>IF(B61="","",INDEX(Hesap!$E$5:$E$136,B61))</f>
        <v>52.2</v>
      </c>
      <c r="H61" s="8">
        <f>IF(B61="","",INDEX(Hesap!$G$5:$G$136,B61))</f>
        <v>17.62</v>
      </c>
      <c r="I61" s="9">
        <f>IF(B61="","",INDEX(Hesap!$H$5:$H$136,B61))</f>
        <v>0.21</v>
      </c>
      <c r="J61" s="8">
        <f>IF(B61="","",INDEX(Hesap!$I$5:$I$136,B61))</f>
        <v>45</v>
      </c>
      <c r="K61" s="10">
        <f>IF(B61="","",INDEX(Hesap!$J$5:$J$136,B61))</f>
        <v>-4350</v>
      </c>
      <c r="L61" s="10">
        <f>IF(B61="","",INDEX(Finans!$AG$5:$AG$136,B61))</f>
        <v>-40.46511627906977</v>
      </c>
      <c r="M61" s="5">
        <f>IF(B61="","",INDEX(Finans!$K$5:$K$136,B61))</f>
        <v>45</v>
      </c>
      <c r="N61" s="5">
        <f>IF(B61="","",INDEX(Hesap!$T$5:$T$136,B61))</f>
        <v>58</v>
      </c>
      <c r="O61" s="6" t="str">
        <f>IF(B61="","",INDEX(Deneyler!$C$5:$C$136,B61))</f>
        <v>Ücretsiz Radix, shadcn ve cam efekti paketleri varken ajanslar ölçülen entegrasyon süresi için kit ücreti öder</v>
      </c>
    </row>
    <row r="62">
      <c r="A62" s="5" t="n">
        <v>58</v>
      </c>
      <c r="B62" s="5">
        <f>IFERROR(MATCH(A62,Hesap!$Q$5:$Q$136,0),"")</f>
        <v>5</v>
      </c>
      <c r="C62" s="6" t="str">
        <f>IF(B62="","",INDEX(Hesap!$B$5:$B$136,B62))</f>
        <v>Parsel Kartı: emlakçıya arsa ilanı için güven kartı aboneliği</v>
      </c>
      <c r="D62" s="6" t="str">
        <f>IF(B62="","",INDEX(Hesap!$C$5:$C$136,B62))</f>
        <v>arsam.net / ParselQ (arsa raporu, emlakçı aracı, pazar yeri)</v>
      </c>
      <c r="E62" s="7" t="str">
        <f>IF(B62="","",INDEX(Hesap!$N$5:$N$136,B62))</f>
        <v>Değiştir</v>
      </c>
      <c r="F62" s="7" t="str">
        <f>IF(B62="","",INDEX(Hesap!$D$5:$D$136,B62))</f>
        <v>test</v>
      </c>
      <c r="G62" s="8">
        <f>IF(B62="","",INDEX(Hesap!$E$5:$E$136,B62))</f>
        <v>51.4</v>
      </c>
      <c r="H62" s="8">
        <f>IF(B62="","",INDEX(Hesap!$G$5:$G$136,B62))</f>
        <v>17.58</v>
      </c>
      <c r="I62" s="9">
        <f>IF(B62="","",INDEX(Hesap!$H$5:$H$136,B62))</f>
        <v>0.26</v>
      </c>
      <c r="J62" s="8">
        <f>IF(B62="","",INDEX(Hesap!$I$5:$I$136,B62))</f>
        <v>55</v>
      </c>
      <c r="K62" s="10">
        <f>IF(B62="","",INDEX(Hesap!$J$5:$J$136,B62))</f>
        <v>-35334</v>
      </c>
      <c r="L62" s="10">
        <f>IF(B62="","",INDEX(Finans!$AG$5:$AG$136,B62))</f>
        <v>-190.5825242718447</v>
      </c>
      <c r="M62" s="5">
        <f>IF(B62="","",INDEX(Finans!$K$5:$K$136,B62))</f>
        <v>45</v>
      </c>
      <c r="N62" s="5">
        <f>IF(B62="","",INDEX(Hesap!$T$5:$T$136,B62))</f>
        <v>68</v>
      </c>
      <c r="O62" s="6" t="str">
        <f>IF(B62="","",INDEX(Deneyler!$C$5:$C$136,B62))</f>
        <v>Arsa odaklı ofisler 7 günlük denemeden sonra ayda 299-499 ₺ ödeyecek ve her ay kart üretmeye devam edecek</v>
      </c>
    </row>
    <row r="63">
      <c r="A63" s="5" t="n">
        <v>59</v>
      </c>
      <c r="B63" s="5">
        <f>IFERROR(MATCH(A63,Hesap!$Q$5:$Q$136,0),"")</f>
        <v>112</v>
      </c>
      <c r="C63" s="6" t="str">
        <f>IF(B63="","",INDEX(Hesap!$B$5:$B$136,B63))</f>
        <v>Elle teslim: 10 adaylık güncel boş .com karar dosyası</v>
      </c>
      <c r="D63" s="6" t="str">
        <f>IF(B63="","",INDEX(Hesap!$C$5:$C$136,B63))</f>
        <v>Marka adı ve boş alan adı bulucu</v>
      </c>
      <c r="E63" s="7" t="str">
        <f>IF(B63="","",INDEX(Hesap!$N$5:$N$136,B63))</f>
        <v>Değiştir</v>
      </c>
      <c r="F63" s="7" t="str">
        <f>IF(B63="","",INDEX(Hesap!$D$5:$D$136,B63))</f>
        <v>test</v>
      </c>
      <c r="G63" s="8">
        <f>IF(B63="","",INDEX(Hesap!$E$5:$E$136,B63))</f>
        <v>52.6</v>
      </c>
      <c r="H63" s="8">
        <f>IF(B63="","",INDEX(Hesap!$G$5:$G$136,B63))</f>
        <v>17.58</v>
      </c>
      <c r="I63" s="9">
        <f>IF(B63="","",INDEX(Hesap!$H$5:$H$136,B63))</f>
        <v>0.18</v>
      </c>
      <c r="J63" s="8">
        <f>IF(B63="","",INDEX(Hesap!$I$5:$I$136,B63))</f>
        <v>30</v>
      </c>
      <c r="K63" s="10">
        <f>IF(B63="","",INDEX(Hesap!$J$5:$J$136,B63))</f>
        <v>3068</v>
      </c>
      <c r="L63" s="10">
        <f>IF(B63="","",INDEX(Finans!$AG$5:$AG$136,B63))</f>
        <v>124.3783783783784</v>
      </c>
      <c r="M63" s="5">
        <f>IF(B63="","",INDEX(Finans!$K$5:$K$136,B63))</f>
        <v>7</v>
      </c>
      <c r="N63" s="5">
        <f>IF(B63="","",INDEX(Hesap!$T$5:$T$136,B63))</f>
        <v>3</v>
      </c>
      <c r="O63" s="6" t="str">
        <f>IF(B63="","",INDEX(Deneyler!$C$5:$C$136,B63))</f>
        <v>Ad arasında kalan girişimci, Türkçe okunuş ve marka sınıfı farkıyla güncel karar dosyasına 1.490 ₺ öder</v>
      </c>
    </row>
    <row r="64">
      <c r="A64" s="5" t="n">
        <v>60</v>
      </c>
      <c r="B64" s="5">
        <f>IFERROR(MATCH(A64,Hesap!$Q$5:$Q$136,0),"")</f>
        <v>85</v>
      </c>
      <c r="C64" s="6" t="str">
        <f>IF(B64="","",INDEX(Hesap!$B$5:$B$136,B64))</f>
        <v>Uluslararası şablon paketleri (29-79 $) açık çekirdekle</v>
      </c>
      <c r="D64" s="6" t="str">
        <f>IF(B64="","",INDEX(Hesap!$C$5:$C$136,B64))</f>
        <v>DDD modüler monolit rehberi ve JSON blok renderer</v>
      </c>
      <c r="E64" s="7" t="str">
        <f>IF(B64="","",INDEX(Hesap!$N$5:$N$136,B64))</f>
        <v>Değiştir</v>
      </c>
      <c r="F64" s="7" t="str">
        <f>IF(B64="","",INDEX(Hesap!$D$5:$D$136,B64))</f>
        <v>test</v>
      </c>
      <c r="G64" s="8">
        <f>IF(B64="","",INDEX(Hesap!$E$5:$E$136,B64))</f>
        <v>52.8</v>
      </c>
      <c r="H64" s="8">
        <f>IF(B64="","",INDEX(Hesap!$G$5:$G$136,B64))</f>
        <v>17.56</v>
      </c>
      <c r="I64" s="9">
        <f>IF(B64="","",INDEX(Hesap!$H$5:$H$136,B64))</f>
        <v>0.19</v>
      </c>
      <c r="J64" s="8">
        <f>IF(B64="","",INDEX(Hesap!$I$5:$I$136,B64))</f>
        <v>50</v>
      </c>
      <c r="K64" s="10">
        <f>IF(B64="","",INDEX(Hesap!$J$5:$J$136,B64))</f>
        <v>3554</v>
      </c>
      <c r="L64" s="10">
        <f>IF(B64="","",INDEX(Finans!$AG$5:$AG$136,B64))</f>
        <v>39.05494505494506</v>
      </c>
      <c r="M64" s="5">
        <f>IF(B64="","",INDEX(Finans!$K$5:$K$136,B64))</f>
        <v>45</v>
      </c>
      <c r="N64" s="5">
        <f>IF(B64="","",INDEX(Hesap!$T$5:$T$136,B64))</f>
        <v>42</v>
      </c>
      <c r="O64" s="6" t="str">
        <f>IF(B64="","",INDEX(Deneyler!$C$5:$C$136,B64))</f>
        <v>Yurt dışı teknik liderler ve mimarlar, ücretsiz Structurizr ve LikeC4 varken 29-79 $ şablon paketi alır.</v>
      </c>
    </row>
    <row r="65">
      <c r="A65" s="5" t="n">
        <v>61</v>
      </c>
      <c r="B65" s="5">
        <f>IFERROR(MATCH(A65,Hesap!$Q$5:$Q$136,0),"")</f>
        <v>53</v>
      </c>
      <c r="C65" s="6" t="str">
        <f>IF(B65="","",INDEX(Hesap!$B$5:$B$136,B65))</f>
        <v>Rapor-yalnız paket ve destekli kurulum/uyumluluk hizmeti</v>
      </c>
      <c r="D65" s="6" t="str">
        <f>IF(B65="","",INDEX(Hesap!$C$5:$C$136,B65))</f>
        <v>Yapay zekâ ajanı kaynak ve maliyet koruyucu</v>
      </c>
      <c r="E65" s="7" t="str">
        <f>IF(B65="","",INDEX(Hesap!$N$5:$N$136,B65))</f>
        <v>Değiştir</v>
      </c>
      <c r="F65" s="7" t="str">
        <f>IF(B65="","",INDEX(Hesap!$D$5:$D$136,B65))</f>
        <v>test</v>
      </c>
      <c r="G65" s="8">
        <f>IF(B65="","",INDEX(Hesap!$E$5:$E$136,B65))</f>
        <v>49.4</v>
      </c>
      <c r="H65" s="8">
        <f>IF(B65="","",INDEX(Hesap!$G$5:$G$136,B65))</f>
        <v>17.54</v>
      </c>
      <c r="I65" s="9">
        <f>IF(B65="","",INDEX(Hesap!$H$5:$H$136,B65))</f>
        <v>0.24</v>
      </c>
      <c r="J65" s="8">
        <f>IF(B65="","",INDEX(Hesap!$I$5:$I$136,B65))</f>
        <v>35</v>
      </c>
      <c r="K65" s="10">
        <f>IF(B65="","",INDEX(Hesap!$J$5:$J$136,B65))</f>
        <v>13660</v>
      </c>
      <c r="L65" s="10">
        <f>IF(B65="","",INDEX(Finans!$AG$5:$AG$136,B65))</f>
        <v>278.7755102040816</v>
      </c>
      <c r="M65" s="5">
        <f>IF(B65="","",INDEX(Finans!$K$5:$K$136,B65))</f>
        <v>21</v>
      </c>
      <c r="N65" s="5">
        <f>IF(B65="","",INDEX(Hesap!$T$5:$T$136,B65))</f>
        <v>35</v>
      </c>
      <c r="O65" s="6" t="str">
        <f>IF(B65="","",INDEX(Deneyler!$C$5:$C$136,B65))</f>
        <v>Ücretsiz rapor aracını kullanan biri, sorun tekrarlayınca teşhis ve kurulum desteği için 60 $ öder</v>
      </c>
    </row>
    <row r="66">
      <c r="A66" s="5" t="n">
        <v>62</v>
      </c>
      <c r="B66" s="5">
        <f>IFERROR(MATCH(A66,Hesap!$Q$5:$Q$136,0),"")</f>
        <v>126</v>
      </c>
      <c r="C66" s="6" t="str">
        <f>IF(B66="","",INDEX(Hesap!$B$5:$B$136,B66))</f>
        <v>Ajans paketi: 10 site lisanslı taksit ve kapıda ödeme eklentisi</v>
      </c>
      <c r="D66" s="6" t="str">
        <f>IF(B66="","",INDEX(Hesap!$C$5:$C$136,B66))</f>
        <v>WooCommerce yorum ve taksit eklentisi (WooCommnts)</v>
      </c>
      <c r="E66" s="7" t="str">
        <f>IF(B66="","",INDEX(Hesap!$N$5:$N$136,B66))</f>
        <v>Değiştir</v>
      </c>
      <c r="F66" s="7" t="str">
        <f>IF(B66="","",INDEX(Hesap!$D$5:$D$136,B66))</f>
        <v>test</v>
      </c>
      <c r="G66" s="8">
        <f>IF(B66="","",INDEX(Hesap!$E$5:$E$136,B66))</f>
        <v>50.8</v>
      </c>
      <c r="H66" s="8">
        <f>IF(B66="","",INDEX(Hesap!$G$5:$G$136,B66))</f>
        <v>17.12</v>
      </c>
      <c r="I66" s="9">
        <f>IF(B66="","",INDEX(Hesap!$H$5:$H$136,B66))</f>
        <v>0.17</v>
      </c>
      <c r="J66" s="8">
        <f>IF(B66="","",INDEX(Hesap!$I$5:$I$136,B66))</f>
        <v>50</v>
      </c>
      <c r="K66" s="10">
        <f>IF(B66="","",INDEX(Hesap!$J$5:$J$136,B66))</f>
        <v>-230</v>
      </c>
      <c r="L66" s="10">
        <f>IF(B66="","",INDEX(Finans!$AG$5:$AG$136,B66))</f>
        <v>-2.459893048128342</v>
      </c>
      <c r="M66" s="5">
        <f>IF(B66="","",INDEX(Finans!$K$5:$K$136,B66))</f>
        <v>60</v>
      </c>
      <c r="N66" s="5">
        <f>IF(B66="","",INDEX(Hesap!$T$5:$T$136,B66))</f>
        <v>32</v>
      </c>
      <c r="O66" s="6" t="str">
        <f>IF(B66="","",INDEX(Deneyler!$C$5:$C$136,B66))</f>
        <v>Ajans müşteri başına yeniden yazmadan tek lisansla taksit ve kapıda ödeme çözümüne para öder</v>
      </c>
    </row>
    <row r="67">
      <c r="A67" s="5" t="n">
        <v>63</v>
      </c>
      <c r="B67" s="5">
        <f>IFERROR(MATCH(A67,Hesap!$Q$5:$Q$136,0),"")</f>
        <v>72</v>
      </c>
      <c r="C67" s="6" t="str">
        <f>IF(B67="","",INDEX(Hesap!$B$5:$B$136,B67))</f>
        <v>Zabuno içinde kampanya görseli modülü</v>
      </c>
      <c r="D67" s="6" t="str">
        <f>IF(B67="","",INDEX(Hesap!$C$5:$C$136,B67))</f>
        <v>Banner ve gönderi üretim sistemi</v>
      </c>
      <c r="E67" s="7" t="str">
        <f>IF(B67="","",INDEX(Hesap!$N$5:$N$136,B67))</f>
        <v>Değiştir</v>
      </c>
      <c r="F67" s="7" t="str">
        <f>IF(B67="","",INDEX(Hesap!$D$5:$D$136,B67))</f>
        <v>test</v>
      </c>
      <c r="G67" s="8">
        <f>IF(B67="","",INDEX(Hesap!$E$5:$E$136,B67))</f>
        <v>49.6</v>
      </c>
      <c r="H67" s="8">
        <f>IF(B67="","",INDEX(Hesap!$G$5:$G$136,B67))</f>
        <v>17.08</v>
      </c>
      <c r="I67" s="9">
        <f>IF(B67="","",INDEX(Hesap!$H$5:$H$136,B67))</f>
        <v>0.25</v>
      </c>
      <c r="J67" s="8">
        <f>IF(B67="","",INDEX(Hesap!$I$5:$I$136,B67))</f>
        <v>60</v>
      </c>
      <c r="K67" s="10">
        <f>IF(B67="","",INDEX(Hesap!$J$5:$J$136,B67))</f>
        <v>-25650</v>
      </c>
      <c r="L67" s="10">
        <f>IF(B67="","",INDEX(Finans!$AG$5:$AG$136,B67))</f>
        <v>-91.93548387096774</v>
      </c>
      <c r="M67" s="5">
        <f>IF(B67="","",INDEX(Finans!$K$5:$K$136,B67))</f>
        <v>60</v>
      </c>
      <c r="N67" s="5">
        <f>IF(B67="","",INDEX(Hesap!$T$5:$T$136,B67))</f>
        <v>19</v>
      </c>
      <c r="O67" s="6" t="str">
        <f>IF(B67="","",INDEX(Deneyler!$C$5:$C$136,B67))</f>
        <v>Pilot restoranlar menüden üretilen görsel için ₺500 daha fazla ödemeye razı olur</v>
      </c>
    </row>
    <row r="68">
      <c r="A68" s="5" t="n">
        <v>64</v>
      </c>
      <c r="B68" s="5">
        <f>IFERROR(MATCH(A68,Hesap!$Q$5:$Q$136,0),"")</f>
        <v>64</v>
      </c>
      <c r="C68" s="6" t="str">
        <f>IF(B68="","",INDEX(Hesap!$B$5:$B$136,B68))</f>
        <v>QR menü ürününde AI asistan (₺999 plan katmanı)</v>
      </c>
      <c r="D68" s="6" t="str">
        <f>IF(B68="","",INDEX(Hesap!$C$5:$C$136,B68))</f>
        <v>AiCommandCard bileşeni</v>
      </c>
      <c r="E68" s="7" t="str">
        <f>IF(B68="","",INDEX(Hesap!$N$5:$N$136,B68))</f>
        <v>Değiştir</v>
      </c>
      <c r="F68" s="7" t="str">
        <f>IF(B68="","",INDEX(Hesap!$D$5:$D$136,B68))</f>
        <v>test</v>
      </c>
      <c r="G68" s="8">
        <f>IF(B68="","",INDEX(Hesap!$E$5:$E$136,B68))</f>
        <v>48.6</v>
      </c>
      <c r="H68" s="8">
        <f>IF(B68="","",INDEX(Hesap!$G$5:$G$136,B68))</f>
        <v>16.9</v>
      </c>
      <c r="I68" s="9">
        <f>IF(B68="","",INDEX(Hesap!$H$5:$H$136,B68))</f>
        <v>0.22</v>
      </c>
      <c r="J68" s="8">
        <f>IF(B68="","",INDEX(Hesap!$I$5:$I$136,B68))</f>
        <v>60</v>
      </c>
      <c r="K68" s="10">
        <f>IF(B68="","",INDEX(Hesap!$J$5:$J$136,B68))</f>
        <v>-12800</v>
      </c>
      <c r="L68" s="10">
        <f>IF(B68="","",INDEX(Finans!$AG$5:$AG$136,B68))</f>
        <v>-106.6666666666667</v>
      </c>
      <c r="M68" s="5">
        <f>IF(B68="","",INDEX(Finans!$K$5:$K$136,B68))</f>
        <v>105</v>
      </c>
      <c r="N68" s="5">
        <f>IF(B68="","",INDEX(Hesap!$T$5:$T$136,B68))</f>
        <v>102</v>
      </c>
      <c r="O68" s="6" t="str">
        <f>IF(B68="","",INDEX(Deneyler!$C$5:$C$136,B68))</f>
        <v>Pilot kafe sahibi AI taslağını haftada en az bir kez kullanır ve ₺500 farkı ödemeye razıdır</v>
      </c>
    </row>
    <row r="69">
      <c r="A69" s="5" t="n">
        <v>65</v>
      </c>
      <c r="B69" s="5">
        <f>IFERROR(MATCH(A69,Hesap!$Q$5:$Q$136,0),"")</f>
        <v>65</v>
      </c>
      <c r="C69" s="6" t="str">
        <f>IF(B69="","",INDEX(Hesap!$B$5:$B$136,B69))</f>
        <v>Sabit kapsamlı AiCommandCard entegrasyon paketi</v>
      </c>
      <c r="D69" s="6" t="str">
        <f>IF(B69="","",INDEX(Hesap!$C$5:$C$136,B69))</f>
        <v>AiCommandCard bileşeni</v>
      </c>
      <c r="E69" s="7" t="str">
        <f>IF(B69="","",INDEX(Hesap!$N$5:$N$136,B69))</f>
        <v>Değiştir</v>
      </c>
      <c r="F69" s="7" t="str">
        <f>IF(B69="","",INDEX(Hesap!$D$5:$D$136,B69))</f>
        <v>test</v>
      </c>
      <c r="G69" s="8">
        <f>IF(B69="","",INDEX(Hesap!$E$5:$E$136,B69))</f>
        <v>45.2</v>
      </c>
      <c r="H69" s="8">
        <f>IF(B69="","",INDEX(Hesap!$G$5:$G$136,B69))</f>
        <v>16.88</v>
      </c>
      <c r="I69" s="9">
        <f>IF(B69="","",INDEX(Hesap!$H$5:$H$136,B69))</f>
        <v>0.29</v>
      </c>
      <c r="J69" s="8">
        <f>IF(B69="","",INDEX(Hesap!$I$5:$I$136,B69))</f>
        <v>35</v>
      </c>
      <c r="K69" s="10">
        <f>IF(B69="","",INDEX(Hesap!$J$5:$J$136,B69))</f>
        <v>-2100</v>
      </c>
      <c r="L69" s="10">
        <f>IF(B69="","",INDEX(Finans!$AG$5:$AG$136,B69))</f>
        <v>-43.75</v>
      </c>
      <c r="M69" s="5">
        <f>IF(B69="","",INDEX(Finans!$K$5:$K$136,B69))</f>
        <v>35</v>
      </c>
      <c r="N69" s="5">
        <f>IF(B69="","",INDEX(Hesap!$T$5:$T$136,B69))</f>
        <v>26</v>
      </c>
      <c r="O69" s="6" t="str">
        <f>IF(B69="","",INDEX(Deneyler!$C$5:$C$136,B69))</f>
        <v>Bir ajans ya da ekip, ücretsiz paket varken bile hazır entegrasyon için sabit fiyat öder</v>
      </c>
    </row>
    <row r="70">
      <c r="A70" s="5" t="n">
        <v>66</v>
      </c>
      <c r="B70" s="5">
        <f>IFERROR(MATCH(A70,Hesap!$Q$5:$Q$136,0),"")</f>
        <v>36</v>
      </c>
      <c r="C70" s="6" t="str">
        <f>IF(B70="","",INDEX(Hesap!$B$5:$B$136,B70))</f>
        <v>Eğitmene sabit kapsamlı ders ve laboratuvar üretimi</v>
      </c>
      <c r="D70" s="6" t="str">
        <f>IF(B70="","",INDEX(Hesap!$C$5:$C$136,B70))</f>
        <v>Frontend Atlası (eğitim içeriği)</v>
      </c>
      <c r="E70" s="7" t="str">
        <f>IF(B70="","",INDEX(Hesap!$N$5:$N$136,B70))</f>
        <v>Değiştir</v>
      </c>
      <c r="F70" s="7" t="str">
        <f>IF(B70="","",INDEX(Hesap!$D$5:$D$136,B70))</f>
        <v>test</v>
      </c>
      <c r="G70" s="8">
        <f>IF(B70="","",INDEX(Hesap!$E$5:$E$136,B70))</f>
        <v>50.8</v>
      </c>
      <c r="H70" s="8">
        <f>IF(B70="","",INDEX(Hesap!$G$5:$G$136,B70))</f>
        <v>16.64</v>
      </c>
      <c r="I70" s="9">
        <f>IF(B70="","",INDEX(Hesap!$H$5:$H$136,B70))</f>
        <v>0.13</v>
      </c>
      <c r="J70" s="8">
        <f>IF(B70="","",INDEX(Hesap!$I$5:$I$136,B70))</f>
        <v>35</v>
      </c>
      <c r="K70" s="10">
        <f>IF(B70="","",INDEX(Hesap!$J$5:$J$136,B70))</f>
        <v>800</v>
      </c>
      <c r="L70" s="10">
        <f>IF(B70="","",INDEX(Finans!$AG$5:$AG$136,B70))</f>
        <v>8.51063829787234</v>
      </c>
      <c r="M70" s="5">
        <f>IF(B70="","",INDEX(Finans!$K$5:$K$136,B70))</f>
        <v>21</v>
      </c>
      <c r="N70" s="5">
        <f>IF(B70="","",INDEX(Hesap!$T$5:$T$136,B70))</f>
        <v>30</v>
      </c>
      <c r="O70" s="6" t="str">
        <f>IF(B70="","",INDEX(Deneyler!$C$5:$C$136,B70))</f>
        <v>Bir eğitmen tek ders ve laboratuvar üretimi için ön ödeme yapar</v>
      </c>
    </row>
    <row r="71">
      <c r="A71" s="5" t="n">
        <v>67</v>
      </c>
      <c r="B71" s="5">
        <f>IFERROR(MATCH(A71,Hesap!$Q$5:$Q$136,0),"")</f>
        <v>97</v>
      </c>
      <c r="C71" s="6" t="str">
        <f>IF(B71="","",INDEX(Hesap!$B$5:$B$136,B71))</f>
        <v>Kontrol listesi PDF ve ücretsiz Atlas modülü</v>
      </c>
      <c r="D71" s="6" t="str">
        <f>IF(B71="","",INDEX(Hesap!$C$5:$C$136,B71))</f>
        <v>Çok dilli arayüz rehberi ve denetimi</v>
      </c>
      <c r="E71" s="7" t="str">
        <f>IF(B71="","",INDEX(Hesap!$N$5:$N$136,B71))</f>
        <v>Değiştir</v>
      </c>
      <c r="F71" s="7" t="str">
        <f>IF(B71="","",INDEX(Hesap!$D$5:$D$136,B71))</f>
        <v>test</v>
      </c>
      <c r="G71" s="8">
        <f>IF(B71="","",INDEX(Hesap!$E$5:$E$136,B71))</f>
        <v>52.4</v>
      </c>
      <c r="H71" s="8">
        <f>IF(B71="","",INDEX(Hesap!$G$5:$G$136,B71))</f>
        <v>16.64</v>
      </c>
      <c r="I71" s="9">
        <f>IF(B71="","",INDEX(Hesap!$H$5:$H$136,B71))</f>
        <v>0.1</v>
      </c>
      <c r="J71" s="8">
        <f>IF(B71="","",INDEX(Hesap!$I$5:$I$136,B71))</f>
        <v>55</v>
      </c>
      <c r="K71" s="10">
        <f>IF(B71="","",INDEX(Hesap!$J$5:$J$136,B71))</f>
        <v>-5720</v>
      </c>
      <c r="L71" s="10">
        <f>IF(B71="","",INDEX(Finans!$AG$5:$AG$136,B71))</f>
        <v>-110.7096774193548</v>
      </c>
      <c r="M71" s="5">
        <f>IF(B71="","",INDEX(Finans!$K$5:$K$136,B71))</f>
        <v>35</v>
      </c>
      <c r="N71" s="5">
        <f>IF(B71="","",INDEX(Hesap!$T$5:$T$136,B71))</f>
        <v>54</v>
      </c>
      <c r="O71" s="6" t="str">
        <f>IF(B71="","",INDEX(Deneyler!$C$5:$C$136,B71))</f>
        <v>Atlas okurları ücretsiz derse ek olarak 299 ₺'lik Türkçe kontrol listesi satın alır.</v>
      </c>
    </row>
    <row r="72">
      <c r="A72" s="5" t="n">
        <v>68</v>
      </c>
      <c r="B72" s="5">
        <f>IFERROR(MATCH(A72,Hesap!$Q$5:$Q$136,0),"")</f>
        <v>90</v>
      </c>
      <c r="C72" s="6" t="str">
        <f>IF(B72="","",INDEX(Hesap!$B$5:$B$136,B72))</f>
        <v>Tek kiracılı white-label kurulum paketi</v>
      </c>
      <c r="D72" s="6" t="str">
        <f>IF(B72="","",INDEX(Hesap!$C$5:$C$136,B72))</f>
        <v>E-Menum (Django QR menü kod tabanı)</v>
      </c>
      <c r="E72" s="7" t="str">
        <f>IF(B72="","",INDEX(Hesap!$N$5:$N$136,B72))</f>
        <v>Değiştir</v>
      </c>
      <c r="F72" s="7" t="str">
        <f>IF(B72="","",INDEX(Hesap!$D$5:$D$136,B72))</f>
        <v>test</v>
      </c>
      <c r="G72" s="8">
        <f>IF(B72="","",INDEX(Hesap!$E$5:$E$136,B72))</f>
        <v>45.2</v>
      </c>
      <c r="H72" s="8">
        <f>IF(B72="","",INDEX(Hesap!$G$5:$G$136,B72))</f>
        <v>16.48</v>
      </c>
      <c r="I72" s="9">
        <f>IF(B72="","",INDEX(Hesap!$H$5:$H$136,B72))</f>
        <v>0.32</v>
      </c>
      <c r="J72" s="8">
        <f>IF(B72="","",INDEX(Hesap!$I$5:$I$136,B72))</f>
        <v>35</v>
      </c>
      <c r="K72" s="10">
        <f>IF(B72="","",INDEX(Hesap!$J$5:$J$136,B72))</f>
        <v>3000</v>
      </c>
      <c r="L72" s="10">
        <f>IF(B72="","",INDEX(Finans!$AG$5:$AG$136,B72))</f>
        <v>24.59016393442623</v>
      </c>
      <c r="M72" s="5">
        <f>IF(B72="","",INDEX(Finans!$K$5:$K$136,B72))</f>
        <v>45</v>
      </c>
      <c r="N72" s="5">
        <f>IF(B72="","",INDEX(Hesap!$T$5:$T$136,B72))</f>
        <v>107</v>
      </c>
      <c r="O72" s="6" t="str">
        <f>IF(B72="","",INDEX(Deneyler!$C$5:$C$136,B72))</f>
        <v>Django bilen bir geliştirici ya da ajans, çalışan çekirdeği ve 20 saat uyarlamayı 25.000 TL'ye ön ödemeyle alır</v>
      </c>
    </row>
    <row r="73">
      <c r="A73" s="5" t="n">
        <v>69</v>
      </c>
      <c r="B73" s="5">
        <f>IFERROR(MATCH(A73,Hesap!$Q$5:$Q$136,0),"")</f>
        <v>42</v>
      </c>
      <c r="C73" s="6" t="str">
        <f>IF(B73="","",INDEX(Hesap!$B$5:$B$136,B73))</f>
        <v>Kuluçka ve TTO yıllık lisansı: şablon, doğrulayıcı, eğitim</v>
      </c>
      <c r="D73" s="6" t="str">
        <f>IF(B73="","",INDEX(Hesap!$C$5:$C$136,B73))</f>
        <v>Kurucu sunumu ve canlı finans modeli hizmeti</v>
      </c>
      <c r="E73" s="7" t="str">
        <f>IF(B73="","",INDEX(Hesap!$N$5:$N$136,B73))</f>
        <v>Değiştir</v>
      </c>
      <c r="F73" s="7" t="str">
        <f>IF(B73="","",INDEX(Hesap!$D$5:$D$136,B73))</f>
        <v>test</v>
      </c>
      <c r="G73" s="8">
        <f>IF(B73="","",INDEX(Hesap!$E$5:$E$136,B73))</f>
        <v>47.4</v>
      </c>
      <c r="H73" s="8">
        <f>IF(B73="","",INDEX(Hesap!$G$5:$G$136,B73))</f>
        <v>16.42</v>
      </c>
      <c r="I73" s="9">
        <f>IF(B73="","",INDEX(Hesap!$H$5:$H$136,B73))</f>
        <v>0.2</v>
      </c>
      <c r="J73" s="8">
        <f>IF(B73="","",INDEX(Hesap!$I$5:$I$136,B73))</f>
        <v>55</v>
      </c>
      <c r="K73" s="10">
        <f>IF(B73="","",INDEX(Hesap!$J$5:$J$136,B73))</f>
        <v>-40000</v>
      </c>
      <c r="L73" s="10">
        <f>IF(B73="","",INDEX(Finans!$AG$5:$AG$136,B73))</f>
        <v>-400</v>
      </c>
      <c r="M73" s="5">
        <f>IF(B73="","",INDEX(Finans!$K$5:$K$136,B73))</f>
        <v>60</v>
      </c>
      <c r="N73" s="5">
        <f>IF(B73="","",INDEX(Hesap!$T$5:$T$136,B73))</f>
        <v>74</v>
      </c>
      <c r="O73" s="6" t="str">
        <f>IF(B73="","",INDEX(Deneyler!$C$5:$C$136,B73))</f>
        <v>Program yöneticisi 10 girişim için 30.000 ₺ pilot lisansı bütçeleyip ön ödeme yapacak.</v>
      </c>
    </row>
    <row r="74">
      <c r="A74" s="5" t="n">
        <v>70</v>
      </c>
      <c r="B74" s="5">
        <f>IFERROR(MATCH(A74,Hesap!$Q$5:$Q$136,0),"")</f>
        <v>24</v>
      </c>
      <c r="C74" s="6" t="str">
        <f>IF(B74="","",INDEX(Hesap!$B$5:$B$136,B74))</f>
        <v>Markasız Astro sanayi teması (kod satışı)</v>
      </c>
      <c r="D74" s="6" t="str">
        <f>IF(B74="","",INDEX(Hesap!$C$5:$C$136,B74))</f>
        <v>Kurumsal site hizmeti (KOBİ)</v>
      </c>
      <c r="E74" s="7" t="str">
        <f>IF(B74="","",INDEX(Hesap!$N$5:$N$136,B74))</f>
        <v>Değiştir</v>
      </c>
      <c r="F74" s="7" t="str">
        <f>IF(B74="","",INDEX(Hesap!$D$5:$D$136,B74))</f>
        <v>test</v>
      </c>
      <c r="G74" s="8">
        <f>IF(B74="","",INDEX(Hesap!$E$5:$E$136,B74))</f>
        <v>49.2</v>
      </c>
      <c r="H74" s="8">
        <f>IF(B74="","",INDEX(Hesap!$G$5:$G$136,B74))</f>
        <v>16.4</v>
      </c>
      <c r="I74" s="9">
        <f>IF(B74="","",INDEX(Hesap!$H$5:$H$136,B74))</f>
        <v>0.15</v>
      </c>
      <c r="J74" s="8">
        <f>IF(B74="","",INDEX(Hesap!$I$5:$I$136,B74))</f>
        <v>50</v>
      </c>
      <c r="K74" s="10">
        <f>IF(B74="","",INDEX(Hesap!$J$5:$J$136,B74))</f>
        <v>16380</v>
      </c>
      <c r="L74" s="10">
        <f>IF(B74="","",INDEX(Finans!$AG$5:$AG$136,B74))</f>
        <v>156</v>
      </c>
      <c r="M74" s="5">
        <f>IF(B74="","",INDEX(Finans!$K$5:$K$136,B74))</f>
        <v>60</v>
      </c>
      <c r="N74" s="5">
        <f>IF(B74="","",INDEX(Hesap!$T$5:$T$136,B74))</f>
        <v>64</v>
      </c>
      <c r="O74" s="6" t="str">
        <f>IF(B74="","",INDEX(Deneyler!$C$5:$C$136,B74))</f>
        <v>Ajanslar ve serbest geliştiriciler markasız Türkçe/RTL destekli Astro kalıbına 49-149 $ öder</v>
      </c>
    </row>
    <row r="75">
      <c r="A75" s="5" t="n">
        <v>71</v>
      </c>
      <c r="B75" s="5">
        <f>IFERROR(MATCH(A75,Hesap!$Q$5:$Q$136,0),"")</f>
        <v>119</v>
      </c>
      <c r="C75" s="6" t="str">
        <f>IF(B75="","",INDEX(Hesap!$B$5:$B$136,B75))</f>
        <v>Ajans paketi: white-label toplu imza ve KVKK altbilgi</v>
      </c>
      <c r="D75" s="6" t="str">
        <f>IF(B75="","",INDEX(Hesap!$C$5:$C$136,B75))</f>
        <v>signator (e-posta imzası üreticisi)</v>
      </c>
      <c r="E75" s="7" t="str">
        <f>IF(B75="","",INDEX(Hesap!$N$5:$N$136,B75))</f>
        <v>Değiştir</v>
      </c>
      <c r="F75" s="7" t="str">
        <f>IF(B75="","",INDEX(Hesap!$D$5:$D$136,B75))</f>
        <v>test</v>
      </c>
      <c r="G75" s="8">
        <f>IF(B75="","",INDEX(Hesap!$E$5:$E$136,B75))</f>
        <v>49.2</v>
      </c>
      <c r="H75" s="8">
        <f>IF(B75="","",INDEX(Hesap!$G$5:$G$136,B75))</f>
        <v>16.4</v>
      </c>
      <c r="I75" s="9">
        <f>IF(B75="","",INDEX(Hesap!$H$5:$H$136,B75))</f>
        <v>0.17</v>
      </c>
      <c r="J75" s="8">
        <f>IF(B75="","",INDEX(Hesap!$I$5:$I$136,B75))</f>
        <v>45</v>
      </c>
      <c r="K75" s="10">
        <f>IF(B75="","",INDEX(Hesap!$J$5:$J$136,B75))</f>
        <v>-1110</v>
      </c>
      <c r="L75" s="10">
        <f>IF(B75="","",INDEX(Finans!$AG$5:$AG$136,B75))</f>
        <v>-10.59665871121718</v>
      </c>
      <c r="M75" s="5">
        <f>IF(B75="","",INDEX(Finans!$K$5:$K$136,B75))</f>
        <v>35</v>
      </c>
      <c r="N75" s="5">
        <f>IF(B75="","",INDEX(Hesap!$T$5:$T$136,B75))</f>
        <v>87</v>
      </c>
      <c r="O75" s="6" t="str">
        <f>IF(B75="","",INDEX(Deneyler!$C$5:$C$136,B75))</f>
        <v>Ajanslar imzayı ek kalem olarak satmak için yıllık 4.990 TL ödemeye razı</v>
      </c>
    </row>
    <row r="76">
      <c r="A76" s="5" t="n">
        <v>72</v>
      </c>
      <c r="B76" s="5">
        <f>IFERROR(MATCH(A76,Hesap!$Q$5:$Q$136,0),"")</f>
        <v>57</v>
      </c>
      <c r="C76" s="6" t="str">
        <f>IF(B76="","",INDEX(Hesap!$B$5:$B$136,B76))</f>
        <v>Türkçe ajan görev şablon paketi</v>
      </c>
      <c r="D76" s="6" t="str">
        <f>IF(B76="","",INDEX(Hesap!$C$5:$C$136,B76))</f>
        <v>actionplan (yapay zekâya hazır iş kırılım aracı)</v>
      </c>
      <c r="E76" s="7" t="str">
        <f>IF(B76="","",INDEX(Hesap!$N$5:$N$136,B76))</f>
        <v>Değiştir</v>
      </c>
      <c r="F76" s="7" t="str">
        <f>IF(B76="","",INDEX(Hesap!$D$5:$D$136,B76))</f>
        <v>test</v>
      </c>
      <c r="G76" s="8">
        <f>IF(B76="","",INDEX(Hesap!$E$5:$E$136,B76))</f>
        <v>53</v>
      </c>
      <c r="H76" s="8">
        <f>IF(B76="","",INDEX(Hesap!$G$5:$G$136,B76))</f>
        <v>16.3</v>
      </c>
      <c r="I76" s="9">
        <f>IF(B76="","",INDEX(Hesap!$H$5:$H$136,B76))</f>
        <v>0.07</v>
      </c>
      <c r="J76" s="8">
        <f>IF(B76="","",INDEX(Hesap!$I$5:$I$136,B76))</f>
        <v>45</v>
      </c>
      <c r="K76" s="10">
        <f>IF(B76="","",INDEX(Hesap!$J$5:$J$136,B76))</f>
        <v>-2912</v>
      </c>
      <c r="L76" s="10">
        <f>IF(B76="","",INDEX(Finans!$AG$5:$AG$136,B76))</f>
        <v>-86.15384615384615</v>
      </c>
      <c r="M76" s="5">
        <f>IF(B76="","",INDEX(Finans!$K$5:$K$136,B76))</f>
        <v>14</v>
      </c>
      <c r="N76" s="5">
        <f>IF(B76="","",INDEX(Hesap!$T$5:$T$136,B76))</f>
        <v>40</v>
      </c>
      <c r="O76" s="6" t="str">
        <f>IF(B76="","",INDEX(Deneyler!$C$5:$C$136,B76))</f>
        <v>Türkiye'deki ajan kullanıcıları İngilizce ücretsiz şablon dururken Türkçe paket için 490 TL öder</v>
      </c>
    </row>
    <row r="77">
      <c r="A77" s="5" t="n">
        <v>73</v>
      </c>
      <c r="B77" s="5">
        <f>IFERROR(MATCH(A77,Hesap!$Q$5:$Q$136,0),"")</f>
        <v>37</v>
      </c>
      <c r="C77" s="6" t="str">
        <f>IF(B77="","",INDEX(Hesap!$B$5:$B$136,B77))</f>
        <v>Yarım günlük kurumsal karar atölyesi</v>
      </c>
      <c r="D77" s="6" t="str">
        <f>IF(B77="","",INDEX(Hesap!$C$5:$C$136,B77))</f>
        <v>Karar Kitabı / Yöntem Atlası</v>
      </c>
      <c r="E77" s="7" t="str">
        <f>IF(B77="","",INDEX(Hesap!$N$5:$N$136,B77))</f>
        <v>Değiştir</v>
      </c>
      <c r="F77" s="7" t="str">
        <f>IF(B77="","",INDEX(Hesap!$D$5:$D$136,B77))</f>
        <v>test</v>
      </c>
      <c r="G77" s="8">
        <f>IF(B77="","",INDEX(Hesap!$E$5:$E$136,B77))</f>
        <v>46</v>
      </c>
      <c r="H77" s="8">
        <f>IF(B77="","",INDEX(Hesap!$G$5:$G$136,B77))</f>
        <v>16.28</v>
      </c>
      <c r="I77" s="9">
        <f>IF(B77="","",INDEX(Hesap!$H$5:$H$136,B77))</f>
        <v>0.28</v>
      </c>
      <c r="J77" s="8">
        <f>IF(B77="","",INDEX(Hesap!$I$5:$I$136,B77))</f>
        <v>35</v>
      </c>
      <c r="K77" s="10">
        <f>IF(B77="","",INDEX(Hesap!$J$5:$J$136,B77))</f>
        <v>-14700</v>
      </c>
      <c r="L77" s="10">
        <f>IF(B77="","",INDEX(Finans!$AG$5:$AG$136,B77))</f>
        <v>-86.98224852071006</v>
      </c>
      <c r="M77" s="5">
        <f>IF(B77="","",INDEX(Finans!$K$5:$K$136,B77))</f>
        <v>75</v>
      </c>
      <c r="N77" s="5">
        <f>IF(B77="","",INDEX(Hesap!$T$5:$T$136,B77))</f>
        <v>55</v>
      </c>
      <c r="O77" s="6" t="str">
        <f>IF(B77="","",INDEX(Deneyler!$C$5:$C$136,B77))</f>
        <v>Mevcut ilişkilerdeki üretici KOBİ'ler iki gerçek kararı için 9.900 TL pilot atölyeye avans yatırır</v>
      </c>
    </row>
    <row r="78">
      <c r="A78" s="5" t="n">
        <v>74</v>
      </c>
      <c r="B78" s="5">
        <f>IFERROR(MATCH(A78,Hesap!$Q$5:$Q$136,0),"")</f>
        <v>77</v>
      </c>
      <c r="C78" s="6" t="str">
        <f>IF(B78="","",INDEX(Hesap!$B$5:$B$136,B78))</f>
        <v>Ajans için uyarlanmış keşif formu kiti (tek seferlik)</v>
      </c>
      <c r="D78" s="6" t="str">
        <f>IF(B78="","",INDEX(Hesap!$C$5:$C$136,B78))</f>
        <v>Teknoloji yığını karar sihirbazı</v>
      </c>
      <c r="E78" s="7" t="str">
        <f>IF(B78="","",INDEX(Hesap!$N$5:$N$136,B78))</f>
        <v>Değiştir</v>
      </c>
      <c r="F78" s="7" t="str">
        <f>IF(B78="","",INDEX(Hesap!$D$5:$D$136,B78))</f>
        <v>test</v>
      </c>
      <c r="G78" s="8">
        <f>IF(B78="","",INDEX(Hesap!$E$5:$E$136,B78))</f>
        <v>46</v>
      </c>
      <c r="H78" s="8">
        <f>IF(B78="","",INDEX(Hesap!$G$5:$G$136,B78))</f>
        <v>16.28</v>
      </c>
      <c r="I78" s="9">
        <f>IF(B78="","",INDEX(Hesap!$H$5:$H$136,B78))</f>
        <v>0.3</v>
      </c>
      <c r="J78" s="8">
        <f>IF(B78="","",INDEX(Hesap!$I$5:$I$136,B78))</f>
        <v>40</v>
      </c>
      <c r="K78" s="10">
        <f>IF(B78="","",INDEX(Hesap!$J$5:$J$136,B78))</f>
        <v>-4800</v>
      </c>
      <c r="L78" s="10">
        <f>IF(B78="","",INDEX(Finans!$AG$5:$AG$136,B78))</f>
        <v>-30.86816720257235</v>
      </c>
      <c r="M78" s="5">
        <f>IF(B78="","",INDEX(Finans!$K$5:$K$136,B78))</f>
        <v>45</v>
      </c>
      <c r="N78" s="5">
        <f>IF(B78="","",INDEX(Hesap!$T$5:$T$136,B78))</f>
        <v>104</v>
      </c>
      <c r="O78" s="6" t="str">
        <f>IF(B78="","",INDEX(Deneyler!$C$5:$C$136,B78))</f>
        <v>Ajanslar ücretsiz açık motor varken uyarlanmış hazır kit için 5.000 ₺ öder</v>
      </c>
    </row>
    <row r="79">
      <c r="A79" s="5" t="n">
        <v>75</v>
      </c>
      <c r="B79" s="5">
        <f>IFERROR(MATCH(A79,Hesap!$Q$5:$Q$136,0),"")</f>
        <v>84</v>
      </c>
      <c r="C79" s="6" t="str">
        <f>IF(B79="","",INDEX(Hesap!$B$5:$B$136,B79))</f>
        <v>E-kitap eki: 3 mimari şablonlu paket (149 ₺)</v>
      </c>
      <c r="D79" s="6" t="str">
        <f>IF(B79="","",INDEX(Hesap!$C$5:$C$136,B79))</f>
        <v>DDD modüler monolit rehberi ve JSON blok renderer</v>
      </c>
      <c r="E79" s="7" t="str">
        <f>IF(B79="","",INDEX(Hesap!$N$5:$N$136,B79))</f>
        <v>Değiştir</v>
      </c>
      <c r="F79" s="7" t="str">
        <f>IF(B79="","",INDEX(Hesap!$D$5:$D$136,B79))</f>
        <v>test</v>
      </c>
      <c r="G79" s="8">
        <f>IF(B79="","",INDEX(Hesap!$E$5:$E$136,B79))</f>
        <v>51</v>
      </c>
      <c r="H79" s="8">
        <f>IF(B79="","",INDEX(Hesap!$G$5:$G$136,B79))</f>
        <v>16.22</v>
      </c>
      <c r="I79" s="9">
        <f>IF(B79="","",INDEX(Hesap!$H$5:$H$136,B79))</f>
        <v>0.1</v>
      </c>
      <c r="J79" s="8">
        <f>IF(B79="","",INDEX(Hesap!$I$5:$I$136,B79))</f>
        <v>50</v>
      </c>
      <c r="K79" s="10">
        <f>IF(B79="","",INDEX(Hesap!$J$5:$J$136,B79))</f>
        <v>-4820</v>
      </c>
      <c r="L79" s="10">
        <f>IF(B79="","",INDEX(Finans!$AG$5:$AG$136,B79))</f>
        <v>-72.3</v>
      </c>
      <c r="M79" s="5">
        <f>IF(B79="","",INDEX(Finans!$K$5:$K$136,B79))</f>
        <v>60</v>
      </c>
      <c r="N79" s="5">
        <f>IF(B79="","",INDEX(Hesap!$T$5:$T$136,B79))</f>
        <v>5</v>
      </c>
      <c r="O79" s="6" t="str">
        <f>IF(B79="","",INDEX(Deneyler!$C$5:$C$136,B79))</f>
        <v>E-kitap okuyucuları ve kurucunun ağı 3 şablonluk paketi 149 ₺'ye satın alır.</v>
      </c>
    </row>
    <row r="80">
      <c r="A80" s="5" t="n">
        <v>76</v>
      </c>
      <c r="B80" s="5">
        <f>IFERROR(MATCH(A80,Hesap!$Q$5:$Q$136,0),"")</f>
        <v>86</v>
      </c>
      <c r="C80" s="6" t="str">
        <f>IF(B80="","",INDEX(Hesap!$B$5:$B$136,B80))</f>
        <v>3 günlük sabit kapsamlı mimari değerlendirme hizmeti</v>
      </c>
      <c r="D80" s="6" t="str">
        <f>IF(B80="","",INDEX(Hesap!$C$5:$C$136,B80))</f>
        <v>DDD modüler monolit rehberi ve JSON blok renderer</v>
      </c>
      <c r="E80" s="7" t="str">
        <f>IF(B80="","",INDEX(Hesap!$N$5:$N$136,B80))</f>
        <v>Değiştir</v>
      </c>
      <c r="F80" s="7" t="str">
        <f>IF(B80="","",INDEX(Hesap!$D$5:$D$136,B80))</f>
        <v>test</v>
      </c>
      <c r="G80" s="8">
        <f>IF(B80="","",INDEX(Hesap!$E$5:$E$136,B80))</f>
        <v>49.6</v>
      </c>
      <c r="H80" s="8">
        <f>IF(B80="","",INDEX(Hesap!$G$5:$G$136,B80))</f>
        <v>16.2</v>
      </c>
      <c r="I80" s="9">
        <f>IF(B80="","",INDEX(Hesap!$H$5:$H$136,B80))</f>
        <v>0.15</v>
      </c>
      <c r="J80" s="8">
        <f>IF(B80="","",INDEX(Hesap!$I$5:$I$136,B80))</f>
        <v>35</v>
      </c>
      <c r="K80" s="10">
        <f>IF(B80="","",INDEX(Hesap!$J$5:$J$136,B80))</f>
        <v>-3800</v>
      </c>
      <c r="L80" s="10">
        <f>IF(B80="","",INDEX(Finans!$AG$5:$AG$136,B80))</f>
        <v>-84.44444444444444</v>
      </c>
      <c r="M80" s="5">
        <f>IF(B80="","",INDEX(Finans!$K$5:$K$136,B80))</f>
        <v>45</v>
      </c>
      <c r="N80" s="5">
        <f>IF(B80="","",INDEX(Hesap!$T$5:$T$136,B80))</f>
        <v>83</v>
      </c>
      <c r="O80" s="6" t="str">
        <f>IF(B80="","",INDEX(Deneyler!$C$5:$C$136,B80))</f>
        <v>Teknik liderler mimari modelleme hizmetine 50.000 ₺ öder ve güvenip sistem bilgisini paylaşır.</v>
      </c>
    </row>
    <row r="81">
      <c r="A81" s="5" t="n">
        <v>77</v>
      </c>
      <c r="B81" s="5">
        <f>IFERROR(MATCH(A81,Hesap!$Q$5:$Q$136,0),"")</f>
        <v>91</v>
      </c>
      <c r="C81" s="6" t="str">
        <f>IF(B81="","",INDEX(Hesap!$B$5:$B$136,B81))</f>
        <v>Çok şubeli markaya yönetilen menü güncelleme hizmeti</v>
      </c>
      <c r="D81" s="6" t="str">
        <f>IF(B81="","",INDEX(Hesap!$C$5:$C$136,B81))</f>
        <v>E-Menum (Django QR menü kod tabanı)</v>
      </c>
      <c r="E81" s="7" t="str">
        <f>IF(B81="","",INDEX(Hesap!$N$5:$N$136,B81))</f>
        <v>Değiştir</v>
      </c>
      <c r="F81" s="7" t="str">
        <f>IF(B81="","",INDEX(Hesap!$D$5:$D$136,B81))</f>
        <v>test</v>
      </c>
      <c r="G81" s="8">
        <f>IF(B81="","",INDEX(Hesap!$E$5:$E$136,B81))</f>
        <v>48.4</v>
      </c>
      <c r="H81" s="8">
        <f>IF(B81="","",INDEX(Hesap!$G$5:$G$136,B81))</f>
        <v>16.2</v>
      </c>
      <c r="I81" s="9">
        <f>IF(B81="","",INDEX(Hesap!$H$5:$H$136,B81))</f>
        <v>0.18</v>
      </c>
      <c r="J81" s="8">
        <f>IF(B81="","",INDEX(Hesap!$I$5:$I$136,B81))</f>
        <v>50</v>
      </c>
      <c r="K81" s="10">
        <f>IF(B81="","",INDEX(Hesap!$J$5:$J$136,B81))</f>
        <v>6700</v>
      </c>
      <c r="L81" s="10">
        <f>IF(B81="","",INDEX(Finans!$AG$5:$AG$136,B81))</f>
        <v>47.68683274021353</v>
      </c>
      <c r="M81" s="5">
        <f>IF(B81="","",INDEX(Finans!$K$5:$K$136,B81))</f>
        <v>60</v>
      </c>
      <c r="N81" s="5">
        <f>IF(B81="","",INDEX(Hesap!$T$5:$T$136,B81))</f>
        <v>88</v>
      </c>
      <c r="O81" s="6" t="str">
        <f>IF(B81="","",INDEX(Deneyler!$C$5:$C$136,B81))</f>
        <v>İki-on şubeli bir marka, elle yönetilen onaylı menü yayınına aylık ücret öder</v>
      </c>
    </row>
    <row r="82">
      <c r="A82" s="5" t="n">
        <v>78</v>
      </c>
      <c r="B82" s="5">
        <f>IFERROR(MATCH(A82,Hesap!$Q$5:$Q$136,0),"")</f>
        <v>124</v>
      </c>
      <c r="C82" s="6" t="str">
        <f>IF(B82="","",INDEX(Hesap!$B$5:$B$136,B82))</f>
        <v>itch.io tarayıcı demo ve ücretli premium paket</v>
      </c>
      <c r="D82" s="6" t="str">
        <f>IF(B82="","",INDEX(Hesap!$C$5:$C$136,B82))</f>
        <v>Volley Tap (HTML5 arcade oyunu)</v>
      </c>
      <c r="E82" s="7" t="str">
        <f>IF(B82="","",INDEX(Hesap!$N$5:$N$136,B82))</f>
        <v>Değiştir</v>
      </c>
      <c r="F82" s="7" t="str">
        <f>IF(B82="","",INDEX(Hesap!$D$5:$D$136,B82))</f>
        <v>test</v>
      </c>
      <c r="G82" s="8">
        <f>IF(B82="","",INDEX(Hesap!$E$5:$E$136,B82))</f>
        <v>49.2</v>
      </c>
      <c r="H82" s="8">
        <f>IF(B82="","",INDEX(Hesap!$G$5:$G$136,B82))</f>
        <v>16.16</v>
      </c>
      <c r="I82" s="9">
        <f>IF(B82="","",INDEX(Hesap!$H$5:$H$136,B82))</f>
        <v>0.08</v>
      </c>
      <c r="J82" s="8">
        <f>IF(B82="","",INDEX(Hesap!$I$5:$I$136,B82))</f>
        <v>40</v>
      </c>
      <c r="K82" s="10">
        <f>IF(B82="","",INDEX(Hesap!$J$5:$J$136,B82))</f>
        <v>-190</v>
      </c>
      <c r="L82" s="10">
        <f>IF(B82="","",INDEX(Finans!$AG$5:$AG$136,B82))</f>
        <v>-5.390070921985815</v>
      </c>
      <c r="M82" s="5">
        <f>IF(B82="","",INDEX(Finans!$K$5:$K$136,B82))</f>
        <v>21</v>
      </c>
      <c r="N82" s="5">
        <f>IF(B82="","",INDEX(Hesap!$T$5:$T$136,B82))</f>
        <v>67</v>
      </c>
      <c r="O82" s="6" t="str">
        <f>IF(B82="","",INDEX(Deneyler!$C$5:$C$136,B82))</f>
        <v>Ücretsiz ilk maçı bitiren ve rövanş oynayan oyuncu 2-5 dolarlık premium paketi satın alır</v>
      </c>
    </row>
    <row r="83">
      <c r="A83" s="5" t="n">
        <v>79</v>
      </c>
      <c r="B83" s="5">
        <f>IFERROR(MATCH(A83,Hesap!$Q$5:$Q$136,0),"")</f>
        <v>62</v>
      </c>
      <c r="C83" s="6" t="str">
        <f>IF(B83="","",INDEX(Hesap!$B$5:$B$136,B83))</f>
        <v>Ekip atölyesi ve 2 haftalık tasarım sistemi kurulumu</v>
      </c>
      <c r="D83" s="6" t="str">
        <f>IF(B83="","",INDEX(Hesap!$C$5:$C$136,B83))</f>
        <v>Yapay zekâ öncelikli tasarım sistemi rehberi</v>
      </c>
      <c r="E83" s="7" t="str">
        <f>IF(B83="","",INDEX(Hesap!$N$5:$N$136,B83))</f>
        <v>Değiştir</v>
      </c>
      <c r="F83" s="7" t="str">
        <f>IF(B83="","",INDEX(Hesap!$D$5:$D$136,B83))</f>
        <v>test</v>
      </c>
      <c r="G83" s="8">
        <f>IF(B83="","",INDEX(Hesap!$E$5:$E$136,B83))</f>
        <v>48.8</v>
      </c>
      <c r="H83" s="8">
        <f>IF(B83="","",INDEX(Hesap!$G$5:$G$136,B83))</f>
        <v>15.92</v>
      </c>
      <c r="I83" s="9">
        <f>IF(B83="","",INDEX(Hesap!$H$5:$H$136,B83))</f>
        <v>0.12</v>
      </c>
      <c r="J83" s="8">
        <f>IF(B83="","",INDEX(Hesap!$I$5:$I$136,B83))</f>
        <v>35</v>
      </c>
      <c r="K83" s="10">
        <f>IF(B83="","",INDEX(Hesap!$J$5:$J$136,B83))</f>
        <v>-14000</v>
      </c>
      <c r="L83" s="10">
        <f>IF(B83="","",INDEX(Finans!$AG$5:$AG$136,B83))</f>
        <v>-155.5555555555555</v>
      </c>
      <c r="M83" s="5">
        <f>IF(B83="","",INDEX(Finans!$K$5:$K$136,B83))</f>
        <v>75</v>
      </c>
      <c r="N83" s="5">
        <f>IF(B83="","",INDEX(Hesap!$T$5:$T$136,B83))</f>
        <v>69</v>
      </c>
      <c r="O83" s="6" t="str">
        <f>IF(B83="","",INDEX(Deneyler!$C$5:$C$136,B83))</f>
        <v>Bir yazılım ekibi tek kurucudan atölye ya da kurulum satın almaya güvenir ve 25.000 ₺ ödeyebilir</v>
      </c>
    </row>
    <row r="84">
      <c r="A84" s="5" t="n">
        <v>80</v>
      </c>
      <c r="B84" s="5">
        <f>IFERROR(MATCH(A84,Hesap!$Q$5:$Q$136,0),"")</f>
        <v>47</v>
      </c>
      <c r="C84" s="6" t="str">
        <f>IF(B84="","",INDEX(Hesap!$B$5:$B$136,B84))</f>
        <v>Tek repo için ajan PR makbuzu kurulum hizmeti</v>
      </c>
      <c r="D84" s="6" t="str">
        <f>IF(B84="","",INDEX(Hesap!$C$5:$C$136,B84))</f>
        <v>software-factory (yapay zekâ destekli yazılım üretim hattı hizmeti)</v>
      </c>
      <c r="E84" s="7" t="str">
        <f>IF(B84="","",INDEX(Hesap!$N$5:$N$136,B84))</f>
        <v>Değiştir</v>
      </c>
      <c r="F84" s="7" t="str">
        <f>IF(B84="","",INDEX(Hesap!$D$5:$D$136,B84))</f>
        <v>test</v>
      </c>
      <c r="G84" s="8">
        <f>IF(B84="","",INDEX(Hesap!$E$5:$E$136,B84))</f>
        <v>45.2</v>
      </c>
      <c r="H84" s="8">
        <f>IF(B84="","",INDEX(Hesap!$G$5:$G$136,B84))</f>
        <v>15.88</v>
      </c>
      <c r="I84" s="9">
        <f>IF(B84="","",INDEX(Hesap!$H$5:$H$136,B84))</f>
        <v>0.22</v>
      </c>
      <c r="J84" s="8">
        <f>IF(B84="","",INDEX(Hesap!$I$5:$I$136,B84))</f>
        <v>60</v>
      </c>
      <c r="K84" s="10">
        <f>IF(B84="","",INDEX(Hesap!$J$5:$J$136,B84))</f>
        <v>18000</v>
      </c>
      <c r="L84" s="10">
        <f>IF(B84="","",INDEX(Finans!$AG$5:$AG$136,B84))</f>
        <v>116.8831168831169</v>
      </c>
      <c r="M84" s="5">
        <f>IF(B84="","",INDEX(Finans!$K$5:$K$136,B84))</f>
        <v>45</v>
      </c>
      <c r="N84" s="5">
        <f>IF(B84="","",INDEX(Hesap!$T$5:$T$136,B84))</f>
        <v>94</v>
      </c>
      <c r="O84" s="6" t="str">
        <f>IF(B84="","",INDEX(Deneyler!$C$5:$C$136,B84))</f>
        <v>Bir engineering lead, ücretsiz dry-run sonrası ikinci işe geçer ve tek repo kurulumuna para öder</v>
      </c>
    </row>
    <row r="85">
      <c r="A85" s="5" t="n">
        <v>81</v>
      </c>
      <c r="B85" s="5">
        <f>IFERROR(MATCH(A85,Hesap!$Q$5:$Q$136,0),"")</f>
        <v>63</v>
      </c>
      <c r="C85" s="6" t="str">
        <f>IF(B85="","",INDEX(Hesap!$B$5:$B$136,B85))</f>
        <v>Ajansa sabit fiyatlı form ve tablo kabul dosyası paketi</v>
      </c>
      <c r="D85" s="6" t="str">
        <f>IF(B85="","",INDEX(Hesap!$C$5:$C$136,B85))</f>
        <v>Yapay zekâ öncelikli tasarım sistemi rehberi</v>
      </c>
      <c r="E85" s="7" t="str">
        <f>IF(B85="","",INDEX(Hesap!$N$5:$N$136,B85))</f>
        <v>Değiştir</v>
      </c>
      <c r="F85" s="7" t="str">
        <f>IF(B85="","",INDEX(Hesap!$D$5:$D$136,B85))</f>
        <v>test</v>
      </c>
      <c r="G85" s="8">
        <f>IF(B85="","",INDEX(Hesap!$E$5:$E$136,B85))</f>
        <v>50.6</v>
      </c>
      <c r="H85" s="8">
        <f>IF(B85="","",INDEX(Hesap!$G$5:$G$136,B85))</f>
        <v>15.82</v>
      </c>
      <c r="I85" s="9">
        <f>IF(B85="","",INDEX(Hesap!$H$5:$H$136,B85))</f>
        <v>0.04</v>
      </c>
      <c r="J85" s="8">
        <f>IF(B85="","",INDEX(Hesap!$I$5:$I$136,B85))</f>
        <v>40</v>
      </c>
      <c r="K85" s="10">
        <f>IF(B85="","",INDEX(Hesap!$J$5:$J$136,B85))</f>
        <v>11000</v>
      </c>
      <c r="L85" s="10">
        <f>IF(B85="","",INDEX(Finans!$AG$5:$AG$136,B85))</f>
        <v>151.7241379310345</v>
      </c>
      <c r="M85" s="5">
        <f>IF(B85="","",INDEX(Finans!$K$5:$K$136,B85))</f>
        <v>45</v>
      </c>
      <c r="N85" s="5">
        <f>IF(B85="","",INDEX(Hesap!$T$5:$T$136,B85))</f>
        <v>44</v>
      </c>
      <c r="O85" s="6" t="str">
        <f>IF(B85="","",INDEX(Deneyler!$C$5:$C$136,B85))</f>
        <v>Ajanslar tek form ve tabloluk dar kabul dosyasına 18.000 ₺ öder</v>
      </c>
    </row>
    <row r="86">
      <c r="A86" s="5" t="n">
        <v>82</v>
      </c>
      <c r="B86" s="5">
        <f>IFERROR(MATCH(A86,Hesap!$Q$5:$Q$136,0),"")</f>
        <v>32</v>
      </c>
      <c r="C86" s="6" t="str">
        <f>IF(B86="","",INDEX(Hesap!$B$5:$B$136,B86))</f>
        <v>Sınıf Paketi: öğretmen ve okul için QR sayfası</v>
      </c>
      <c r="D86" s="6" t="str">
        <f>IF(B86="","",INDEX(Hesap!$C$5:$C$136,B86))</f>
        <v>qral (hızlı başvuru bağlantıları Chrome uzantısı)</v>
      </c>
      <c r="E86" s="7" t="str">
        <f>IF(B86="","",INDEX(Hesap!$N$5:$N$136,B86))</f>
        <v>Değiştir</v>
      </c>
      <c r="F86" s="7" t="str">
        <f>IF(B86="","",INDEX(Hesap!$D$5:$D$136,B86))</f>
        <v>test</v>
      </c>
      <c r="G86" s="8">
        <f>IF(B86="","",INDEX(Hesap!$E$5:$E$136,B86))</f>
        <v>46.6</v>
      </c>
      <c r="H86" s="8">
        <f>IF(B86="","",INDEX(Hesap!$G$5:$G$136,B86))</f>
        <v>15.34</v>
      </c>
      <c r="I86" s="9">
        <f>IF(B86="","",INDEX(Hesap!$H$5:$H$136,B86))</f>
        <v>0.12</v>
      </c>
      <c r="J86" s="8">
        <f>IF(B86="","",INDEX(Hesap!$I$5:$I$136,B86))</f>
        <v>50</v>
      </c>
      <c r="K86" s="10">
        <f>IF(B86="","",INDEX(Hesap!$J$5:$J$136,B86))</f>
        <v>-4753</v>
      </c>
      <c r="L86" s="10">
        <f>IF(B86="","",INDEX(Finans!$AG$5:$AG$136,B86))</f>
        <v>-38.87934560327199</v>
      </c>
      <c r="M86" s="5">
        <f>IF(B86="","",INDEX(Finans!$K$5:$K$136,B86))</f>
        <v>100</v>
      </c>
      <c r="N86" s="5">
        <f>IF(B86="","",INDEX(Hesap!$T$5:$T$136,B86))</f>
        <v>12</v>
      </c>
      <c r="O86" s="6" t="str">
        <f>IF(B86="","",INDEX(Deneyler!$C$5:$C$136,B86))</f>
        <v>Öğretmen ya da zümre, ücretsiz QR araçları varken toplu A4 QR sayfası için yıllık öder.</v>
      </c>
    </row>
    <row r="87">
      <c r="A87" s="5" t="n">
        <v>83</v>
      </c>
      <c r="B87" s="5">
        <f>IFERROR(MATCH(A87,Hesap!$Q$5:$Q$136,0),"")</f>
        <v>128</v>
      </c>
      <c r="C87" s="6" t="str">
        <f>IF(B87="","",INDEX(Hesap!$B$5:$B$136,B87))</f>
        <v>Tek kazanımlı ders paketi (rehber ve cevap anahtarı)</v>
      </c>
      <c r="D87" s="6" t="str">
        <f>IF(B87="","",INDEX(Hesap!$C$5:$C$136,B87))</f>
        <v>Etkileşimli eğitim içeriği demoları</v>
      </c>
      <c r="E87" s="7" t="str">
        <f>IF(B87="","",INDEX(Hesap!$N$5:$N$136,B87))</f>
        <v>Değiştir</v>
      </c>
      <c r="F87" s="7" t="str">
        <f>IF(B87="","",INDEX(Hesap!$D$5:$D$136,B87))</f>
        <v>test</v>
      </c>
      <c r="G87" s="8">
        <f>IF(B87="","",INDEX(Hesap!$E$5:$E$136,B87))</f>
        <v>51</v>
      </c>
      <c r="H87" s="8">
        <f>IF(B87="","",INDEX(Hesap!$G$5:$G$136,B87))</f>
        <v>15.3</v>
      </c>
      <c r="I87" s="9">
        <f>IF(B87="","",INDEX(Hesap!$H$5:$H$136,B87))</f>
        <v>0</v>
      </c>
      <c r="J87" s="8">
        <f>IF(B87="","",INDEX(Hesap!$I$5:$I$136,B87))</f>
        <v>45</v>
      </c>
      <c r="K87" s="10">
        <f>IF(B87="","",INDEX(Hesap!$J$5:$J$136,B87))</f>
        <v>-2190</v>
      </c>
      <c r="L87" s="10">
        <f>IF(B87="","",INDEX(Finans!$AG$5:$AG$136,B87))</f>
        <v>-23.05263157894737</v>
      </c>
      <c r="M87" s="5">
        <f>IF(B87="","",INDEX(Finans!$K$5:$K$136,B87))</f>
        <v>21</v>
      </c>
      <c r="N87" s="5">
        <f>IF(B87="","",INDEX(Hesap!$T$5:$T$136,B87))</f>
        <v>73</v>
      </c>
      <c r="O87" s="6" t="str">
        <f>IF(B87="","",INDEX(Deneyler!$C$5:$C$136,B87))</f>
        <v>Öğretmenler ücretsiz örnekten sonra tek kazanım paketi için 600 TL öder</v>
      </c>
    </row>
    <row r="88">
      <c r="A88" s="5" t="n">
        <v>84</v>
      </c>
      <c r="B88" s="5">
        <f>IFERROR(MATCH(A88,Hesap!$Q$5:$Q$136,0),"")</f>
        <v>56</v>
      </c>
      <c r="C88" s="6" t="str">
        <f>IF(B88="","",INDEX(Hesap!$B$5:$B$136,B88))</f>
        <v>Teslim kabul kurulumu: sürümlü kapsam ve kanıt paketi</v>
      </c>
      <c r="D88" s="6" t="str">
        <f>IF(B88="","",INDEX(Hesap!$C$5:$C$136,B88))</f>
        <v>actionplan (yapay zekâya hazır iş kırılım aracı)</v>
      </c>
      <c r="E88" s="7" t="str">
        <f>IF(B88="","",INDEX(Hesap!$N$5:$N$136,B88))</f>
        <v>Değiştir</v>
      </c>
      <c r="F88" s="7" t="str">
        <f>IF(B88="","",INDEX(Hesap!$D$5:$D$136,B88))</f>
        <v>test</v>
      </c>
      <c r="G88" s="8">
        <f>IF(B88="","",INDEX(Hesap!$E$5:$E$136,B88))</f>
        <v>48</v>
      </c>
      <c r="H88" s="8">
        <f>IF(B88="","",INDEX(Hesap!$G$5:$G$136,B88))</f>
        <v>15.08</v>
      </c>
      <c r="I88" s="9">
        <f>IF(B88="","",INDEX(Hesap!$H$5:$H$136,B88))</f>
        <v>0.07</v>
      </c>
      <c r="J88" s="8">
        <f>IF(B88="","",INDEX(Hesap!$I$5:$I$136,B88))</f>
        <v>35</v>
      </c>
      <c r="K88" s="10">
        <f>IF(B88="","",INDEX(Hesap!$J$5:$J$136,B88))</f>
        <v>12700</v>
      </c>
      <c r="L88" s="10">
        <f>IF(B88="","",INDEX(Finans!$AG$5:$AG$136,B88))</f>
        <v>190.9774436090225</v>
      </c>
      <c r="M88" s="5">
        <f>IF(B88="","",INDEX(Finans!$K$5:$K$136,B88))</f>
        <v>30</v>
      </c>
      <c r="N88" s="5">
        <f>IF(B88="","",INDEX(Hesap!$T$5:$T$136,B88))</f>
        <v>63</v>
      </c>
      <c r="O88" s="6" t="str">
        <f>IF(B88="","",INDEX(Deneyler!$C$5:$C$136,B88))</f>
        <v>Ajans proje liderleri müşteri kabul belgesi için kurulum ücreti öder</v>
      </c>
    </row>
    <row r="89">
      <c r="A89" s="5" t="n">
        <v>85</v>
      </c>
      <c r="B89" s="5">
        <f>IFERROR(MATCH(A89,Hesap!$Q$5:$Q$136,0),"")</f>
        <v>87</v>
      </c>
      <c r="C89" s="6" t="str">
        <f>IF(B89="","",INDEX(Hesap!$B$5:$B$136,B89))</f>
        <v>3 günlük onay, denetim ve yetki entegrasyon paketi</v>
      </c>
      <c r="D89" s="6" t="str">
        <f>IF(B89="","",INDEX(Hesap!$C$5:$C$136,B89))</f>
        <v>Geliştirici paneli desenleri (devpanel)</v>
      </c>
      <c r="E89" s="7" t="str">
        <f>IF(B89="","",INDEX(Hesap!$N$5:$N$136,B89))</f>
        <v>Değiştir</v>
      </c>
      <c r="F89" s="7" t="str">
        <f>IF(B89="","",INDEX(Hesap!$D$5:$D$136,B89))</f>
        <v>test</v>
      </c>
      <c r="G89" s="8">
        <f>IF(B89="","",INDEX(Hesap!$E$5:$E$136,B89))</f>
        <v>45.4</v>
      </c>
      <c r="H89" s="8">
        <f>IF(B89="","",INDEX(Hesap!$G$5:$G$136,B89))</f>
        <v>15.02</v>
      </c>
      <c r="I89" s="9">
        <f>IF(B89="","",INDEX(Hesap!$H$5:$H$136,B89))</f>
        <v>0.13</v>
      </c>
      <c r="J89" s="8">
        <f>IF(B89="","",INDEX(Hesap!$I$5:$I$136,B89))</f>
        <v>35</v>
      </c>
      <c r="K89" s="10">
        <f>IF(B89="","",INDEX(Hesap!$J$5:$J$136,B89))</f>
        <v>-4400</v>
      </c>
      <c r="L89" s="10">
        <f>IF(B89="","",INDEX(Finans!$AG$5:$AG$136,B89))</f>
        <v>-73.33333333333333</v>
      </c>
      <c r="M89" s="5">
        <f>IF(B89="","",INDEX(Finans!$K$5:$K$136,B89))</f>
        <v>60</v>
      </c>
      <c r="N89" s="5">
        <f>IF(B89="","",INDEX(Hesap!$T$5:$T$136,B89))</f>
        <v>14</v>
      </c>
      <c r="O89" s="6" t="str">
        <f>IF(B89="","",INDEX(Deneyler!$C$5:$C$136,B89))</f>
        <v>Bir geliştirici ekibi, açık kaynak desenlerin varlığına rağmen entegrasyon için 36.000 ₺ öder</v>
      </c>
    </row>
    <row r="90">
      <c r="A90" s="5" t="n">
        <v>86</v>
      </c>
      <c r="B90" s="5">
        <f>IFERROR(MATCH(A90,Hesap!$Q$5:$Q$136,0),"")</f>
        <v>122</v>
      </c>
      <c r="C90" s="6" t="str">
        <f>IF(B90="","",INDEX(Hesap!$B$5:$B$136,B90))</f>
        <v>Kulüp ve markalara sabit paketli kampanya oyunu</v>
      </c>
      <c r="D90" s="6" t="str">
        <f>IF(B90="","",INDEX(Hesap!$C$5:$C$136,B90))</f>
        <v>Volley Tap (HTML5 arcade oyunu)</v>
      </c>
      <c r="E90" s="7" t="str">
        <f>IF(B90="","",INDEX(Hesap!$N$5:$N$136,B90))</f>
        <v>Değiştir</v>
      </c>
      <c r="F90" s="7" t="str">
        <f>IF(B90="","",INDEX(Hesap!$D$5:$D$136,B90))</f>
        <v>test</v>
      </c>
      <c r="G90" s="8">
        <f>IF(B90="","",INDEX(Hesap!$E$5:$E$136,B90))</f>
        <v>46.2</v>
      </c>
      <c r="H90" s="8">
        <f>IF(B90="","",INDEX(Hesap!$G$5:$G$136,B90))</f>
        <v>14.86</v>
      </c>
      <c r="I90" s="9">
        <f>IF(B90="","",INDEX(Hesap!$H$5:$H$136,B90))</f>
        <v>0.1</v>
      </c>
      <c r="J90" s="8">
        <f>IF(B90="","",INDEX(Hesap!$I$5:$I$136,B90))</f>
        <v>35</v>
      </c>
      <c r="K90" s="10">
        <f>IF(B90="","",INDEX(Hesap!$J$5:$J$136,B90))</f>
        <v>-7500</v>
      </c>
      <c r="L90" s="10">
        <f>IF(B90="","",INDEX(Finans!$AG$5:$AG$136,B90))</f>
        <v>-62.5</v>
      </c>
      <c r="M90" s="5">
        <f>IF(B90="","",INDEX(Finans!$K$5:$K$136,B90))</f>
        <v>63</v>
      </c>
      <c r="N90" s="5">
        <f>IF(B90="","",INDEX(Hesap!$T$5:$T$136,B90))</f>
        <v>103</v>
      </c>
      <c r="O90" s="6" t="str">
        <f>IF(B90="","",INDEX(Deneyler!$C$5:$C$136,B90))</f>
        <v>Bir kulüp ya da marka, gerçek oyun demosunu görünce sabit 15-25 bin liralık paketi ön ödemeyle alır</v>
      </c>
    </row>
    <row r="91">
      <c r="A91" s="5" t="n">
        <v>87</v>
      </c>
      <c r="B91" s="5">
        <f>IFERROR(MATCH(A91,Hesap!$Q$5:$Q$136,0),"")</f>
        <v>111</v>
      </c>
      <c r="C91" s="6" t="str">
        <f>IF(B91="","",INDEX(Hesap!$B$5:$B$136,B91))</f>
        <v>Ajans yıllık paketi: puanlı kısa liste ve müşteri teslim şablonu</v>
      </c>
      <c r="D91" s="6" t="str">
        <f>IF(B91="","",INDEX(Hesap!$C$5:$C$136,B91))</f>
        <v>Marka adı ve boş alan adı bulucu</v>
      </c>
      <c r="E91" s="7" t="str">
        <f>IF(B91="","",INDEX(Hesap!$N$5:$N$136,B91))</f>
        <v>Değiştir</v>
      </c>
      <c r="F91" s="7" t="str">
        <f>IF(B91="","",INDEX(Hesap!$D$5:$D$136,B91))</f>
        <v>test</v>
      </c>
      <c r="G91" s="8">
        <f>IF(B91="","",INDEX(Hesap!$E$5:$E$136,B91))</f>
        <v>47.2</v>
      </c>
      <c r="H91" s="8">
        <f>IF(B91="","",INDEX(Hesap!$G$5:$G$136,B91))</f>
        <v>14.84</v>
      </c>
      <c r="I91" s="9">
        <f>IF(B91="","",INDEX(Hesap!$H$5:$H$136,B91))</f>
        <v>0.07</v>
      </c>
      <c r="J91" s="8">
        <f>IF(B91="","",INDEX(Hesap!$I$5:$I$136,B91))</f>
        <v>45</v>
      </c>
      <c r="K91" s="10">
        <f>IF(B91="","",INDEX(Hesap!$J$5:$J$136,B91))</f>
        <v>-7592</v>
      </c>
      <c r="L91" s="10">
        <f>IF(B91="","",INDEX(Finans!$AG$5:$AG$136,B91))</f>
        <v>-96.71337579617834</v>
      </c>
      <c r="M91" s="5">
        <f>IF(B91="","",INDEX(Finans!$K$5:$K$136,B91))</f>
        <v>30</v>
      </c>
      <c r="N91" s="5">
        <f>IF(B91="","",INDEX(Hesap!$T$5:$T$136,B91))</f>
        <v>20</v>
      </c>
      <c r="O91" s="6" t="str">
        <f>IF(B91="","",INDEX(Deneyler!$C$5:$C$136,B91))</f>
        <v>Ajans, ücretsiz araçlar dururken puanlı teslim şablonu için yılda 499 ₺ öder</v>
      </c>
    </row>
    <row r="92">
      <c r="A92" s="5" t="n">
        <v>88</v>
      </c>
      <c r="B92" s="5">
        <f>IFERROR(MATCH(A92,Hesap!$Q$5:$Q$136,0),"")</f>
        <v>98</v>
      </c>
      <c r="C92" s="6" t="str">
        <f>IF(B92="","",INDEX(Hesap!$B$5:$B$136,B92))</f>
        <v>SaaS ekibine ücretli pilot: yerelleştirme QA kapısı</v>
      </c>
      <c r="D92" s="6" t="str">
        <f>IF(B92="","",INDEX(Hesap!$C$5:$C$136,B92))</f>
        <v>Çok dilli arayüz rehberi ve denetimi</v>
      </c>
      <c r="E92" s="7" t="str">
        <f>IF(B92="","",INDEX(Hesap!$N$5:$N$136,B92))</f>
        <v>Değiştir</v>
      </c>
      <c r="F92" s="7" t="str">
        <f>IF(B92="","",INDEX(Hesap!$D$5:$D$136,B92))</f>
        <v>test</v>
      </c>
      <c r="G92" s="8">
        <f>IF(B92="","",INDEX(Hesap!$E$5:$E$136,B92))</f>
        <v>45.2</v>
      </c>
      <c r="H92" s="8">
        <f>IF(B92="","",INDEX(Hesap!$G$5:$G$136,B92))</f>
        <v>14.6</v>
      </c>
      <c r="I92" s="9">
        <f>IF(B92="","",INDEX(Hesap!$H$5:$H$136,B92))</f>
        <v>0.1</v>
      </c>
      <c r="J92" s="8">
        <f>IF(B92="","",INDEX(Hesap!$I$5:$I$136,B92))</f>
        <v>55</v>
      </c>
      <c r="K92" s="10">
        <f>IF(B92="","",INDEX(Hesap!$J$5:$J$136,B92))</f>
        <v>-8400</v>
      </c>
      <c r="L92" s="10">
        <f>IF(B92="","",INDEX(Finans!$AG$5:$AG$136,B92))</f>
        <v>-120</v>
      </c>
      <c r="M92" s="5">
        <f>IF(B92="","",INDEX(Finans!$K$5:$K$136,B92))</f>
        <v>45</v>
      </c>
      <c r="N92" s="5">
        <f>IF(B92="","",INDEX(Hesap!$T$5:$T$136,B92))</f>
        <v>92</v>
      </c>
      <c r="O92" s="6" t="str">
        <f>IF(B92="","",INDEX(Deneyler!$C$5:$C$136,B92))</f>
        <v>SaaS ekipleri ücretsiz Playwright, Storybook ve elle pseudo-locale yerine ücretli kaynak konumlu QA pilotu satın alır.</v>
      </c>
    </row>
    <row r="93">
      <c r="A93" s="5" t="n">
        <v>89</v>
      </c>
      <c r="B93" s="5">
        <f>IFERROR(MATCH(A93,Hesap!$Q$5:$Q$136,0),"")</f>
        <v>114</v>
      </c>
      <c r="C93" s="6" t="str">
        <f>IF(B93="","",INDEX(Hesap!$B$5:$B$136,B93))</f>
        <v>İki günlük ekip atölyesi: Kurumsal SaaS mimarisi</v>
      </c>
      <c r="D93" s="6" t="str">
        <f>IF(B93="","",INDEX(Hesap!$C$5:$C$136,B93))</f>
        <v>Kurumsal SaaS mimarisi içerik ürünü (projector)</v>
      </c>
      <c r="E93" s="7" t="str">
        <f>IF(B93="","",INDEX(Hesap!$N$5:$N$136,B93))</f>
        <v>Değiştir</v>
      </c>
      <c r="F93" s="7" t="str">
        <f>IF(B93="","",INDEX(Hesap!$D$5:$D$136,B93))</f>
        <v>test</v>
      </c>
      <c r="G93" s="8">
        <f>IF(B93="","",INDEX(Hesap!$E$5:$E$136,B93))</f>
        <v>45</v>
      </c>
      <c r="H93" s="8">
        <f>IF(B93="","",INDEX(Hesap!$G$5:$G$136,B93))</f>
        <v>14.5</v>
      </c>
      <c r="I93" s="9">
        <f>IF(B93="","",INDEX(Hesap!$H$5:$H$136,B93))</f>
        <v>0.15</v>
      </c>
      <c r="J93" s="8">
        <f>IF(B93="","",INDEX(Hesap!$I$5:$I$136,B93))</f>
        <v>30</v>
      </c>
      <c r="K93" s="10">
        <f>IF(B93="","",INDEX(Hesap!$J$5:$J$136,B93))</f>
        <v>-23000</v>
      </c>
      <c r="L93" s="10">
        <f>IF(B93="","",INDEX(Finans!$AG$5:$AG$136,B93))</f>
        <v>-175.5725190839695</v>
      </c>
      <c r="M93" s="5">
        <f>IF(B93="","",INDEX(Finans!$K$5:$K$136,B93))</f>
        <v>45</v>
      </c>
      <c r="N93" s="5">
        <f>IF(B93="","",INDEX(Hesap!$T$5:$T$136,B93))</f>
        <v>51</v>
      </c>
      <c r="O93" s="6" t="str">
        <f>IF(B93="","",INDEX(Deneyler!$C$5:$C$136,B93))</f>
        <v>Bir yazılım evi, referanssız bir kurucuya 2 günlük atölye için 35.000 TL ödemeye hazırdır.</v>
      </c>
    </row>
    <row r="94">
      <c r="A94" s="5" t="n">
        <v>90</v>
      </c>
      <c r="B94" s="5">
        <f>IFERROR(MATCH(A94,Hesap!$Q$5:$Q$136,0),"")</f>
        <v>129</v>
      </c>
      <c r="C94" s="6" t="str">
        <f>IF(B94="","",INDEX(Hesap!$B$5:$B$136,B94))</f>
        <v>Ekip atölyesi: prensipleri kendi işine uyarlama</v>
      </c>
      <c r="D94" s="6" t="str">
        <f>IF(B94="","",INDEX(Hesap!$C$5:$C$136,B94))</f>
        <v>Etkileşimli eğitim içeriği demoları</v>
      </c>
      <c r="E94" s="7" t="str">
        <f>IF(B94="","",INDEX(Hesap!$N$5:$N$136,B94))</f>
        <v>Değiştir</v>
      </c>
      <c r="F94" s="7" t="str">
        <f>IF(B94="","",INDEX(Hesap!$D$5:$D$136,B94))</f>
        <v>test</v>
      </c>
      <c r="G94" s="8">
        <f>IF(B94="","",INDEX(Hesap!$E$5:$E$136,B94))</f>
        <v>47.8</v>
      </c>
      <c r="H94" s="8">
        <f>IF(B94="","",INDEX(Hesap!$G$5:$G$136,B94))</f>
        <v>14.34</v>
      </c>
      <c r="I94" s="9">
        <f>IF(B94="","",INDEX(Hesap!$H$5:$H$136,B94))</f>
        <v>0</v>
      </c>
      <c r="J94" s="8">
        <f>IF(B94="","",INDEX(Hesap!$I$5:$I$136,B94))</f>
        <v>25</v>
      </c>
      <c r="K94" s="10">
        <f>IF(B94="","",INDEX(Hesap!$J$5:$J$136,B94))</f>
        <v>5000</v>
      </c>
      <c r="L94" s="10">
        <f>IF(B94="","",INDEX(Finans!$AG$5:$AG$136,B94))</f>
        <v>78.74015748031496</v>
      </c>
      <c r="M94" s="5">
        <f>IF(B94="","",INDEX(Finans!$K$5:$K$136,B94))</f>
        <v>45</v>
      </c>
      <c r="N94" s="5">
        <f>IF(B94="","",INDEX(Hesap!$T$5:$T$136,B94))</f>
        <v>46</v>
      </c>
      <c r="O94" s="6" t="str">
        <f>IF(B94="","",INDEX(Deneyler!$C$5:$C$136,B94))</f>
        <v>Bir ekip lideri kendi problemine uyarlanmış atölye için ödeme yapar</v>
      </c>
    </row>
    <row r="95">
      <c r="A95" s="5" t="n">
        <v>91</v>
      </c>
      <c r="B95" s="5">
        <f>IFERROR(MATCH(A95,Hesap!$Q$5:$Q$136,0),"")</f>
        <v>33</v>
      </c>
      <c r="C95" s="6" t="str">
        <f>IF(B95="","",INDEX(Hesap!$B$5:$B$136,B95))</f>
        <v>Araştırma ekibi için kaynak dışa aktarma şablon paketi</v>
      </c>
      <c r="D95" s="6" t="str">
        <f>IF(B95="","",INDEX(Hesap!$C$5:$C$136,B95))</f>
        <v>qral (hızlı başvuru bağlantıları Chrome uzantısı)</v>
      </c>
      <c r="E95" s="7" t="str">
        <f>IF(B95="","",INDEX(Hesap!$N$5:$N$136,B95))</f>
        <v>Değiştir</v>
      </c>
      <c r="F95" s="7" t="str">
        <f>IF(B95="","",INDEX(Hesap!$D$5:$D$136,B95))</f>
        <v>test</v>
      </c>
      <c r="G95" s="8">
        <f>IF(B95="","",INDEX(Hesap!$E$5:$E$136,B95))</f>
        <v>46</v>
      </c>
      <c r="H95" s="8">
        <f>IF(B95="","",INDEX(Hesap!$G$5:$G$136,B95))</f>
        <v>14.32</v>
      </c>
      <c r="I95" s="9">
        <f>IF(B95="","",INDEX(Hesap!$H$5:$H$136,B95))</f>
        <v>0.07</v>
      </c>
      <c r="J95" s="8">
        <f>IF(B95="","",INDEX(Hesap!$I$5:$I$136,B95))</f>
        <v>35</v>
      </c>
      <c r="K95" s="10">
        <f>IF(B95="","",INDEX(Hesap!$J$5:$J$136,B95))</f>
        <v>-500</v>
      </c>
      <c r="L95" s="10">
        <f>IF(B95="","",INDEX(Finans!$AG$5:$AG$136,B95))</f>
        <v>-8</v>
      </c>
      <c r="M95" s="5">
        <f>IF(B95="","",INDEX(Finans!$K$5:$K$136,B95))</f>
        <v>30</v>
      </c>
      <c r="N95" s="5">
        <f>IF(B95="","",INDEX(Hesap!$T$5:$T$136,B95))</f>
        <v>24</v>
      </c>
      <c r="O95" s="6" t="str">
        <f>IF(B95="","",INDEX(Deneyler!$C$5:$C$136,B95))</f>
        <v>Bir araştırma ekibi, ücretsiz yer imi ve yapay zekâ özeti varken ekip formatı kurulumu için öder.</v>
      </c>
    </row>
    <row r="96">
      <c r="A96" s="5" t="n">
        <v>92</v>
      </c>
      <c r="B96" s="5">
        <f>IFERROR(MATCH(A96,Hesap!$Q$5:$Q$136,0),"")</f>
        <v>95</v>
      </c>
      <c r="C96" s="6" t="str">
        <f>IF(B96="","",INDEX(Hesap!$B$5:$B$136,B96))</f>
        <v>Ajans lisansı: ürün hattı fırsat paketi</v>
      </c>
      <c r="D96" s="6" t="str">
        <f>IF(B96="","",INDEX(Hesap!$C$5:$C$136,B96))</f>
        <v>Eklenti ekosistemi fırsat panosu ve bülteni</v>
      </c>
      <c r="E96" s="7" t="str">
        <f>IF(B96="","",INDEX(Hesap!$N$5:$N$136,B96))</f>
        <v>Değiştir</v>
      </c>
      <c r="F96" s="7" t="str">
        <f>IF(B96="","",INDEX(Hesap!$D$5:$D$136,B96))</f>
        <v>test</v>
      </c>
      <c r="G96" s="8">
        <f>IF(B96="","",INDEX(Hesap!$E$5:$E$136,B96))</f>
        <v>46.4</v>
      </c>
      <c r="H96" s="8">
        <f>IF(B96="","",INDEX(Hesap!$G$5:$G$136,B96))</f>
        <v>13.92</v>
      </c>
      <c r="I96" s="9">
        <f>IF(B96="","",INDEX(Hesap!$H$5:$H$136,B96))</f>
        <v>0</v>
      </c>
      <c r="J96" s="8">
        <f>IF(B96="","",INDEX(Hesap!$I$5:$I$136,B96))</f>
        <v>40</v>
      </c>
      <c r="K96" s="10">
        <f>IF(B96="","",INDEX(Hesap!$J$5:$J$136,B96))</f>
        <v>5302</v>
      </c>
      <c r="L96" s="10">
        <f>IF(B96="","",INDEX(Finans!$AG$5:$AG$136,B96))</f>
        <v>93.29032258064515</v>
      </c>
      <c r="M96" s="5">
        <f>IF(B96="","",INDEX(Finans!$K$5:$K$136,B96))</f>
        <v>75</v>
      </c>
      <c r="N96" s="5">
        <f>IF(B96="","",INDEX(Hesap!$T$5:$T$136,B96))</f>
        <v>17</v>
      </c>
      <c r="O96" s="6" t="str">
        <f>IF(B96="","",INDEX(Deneyler!$C$5:$C$136,B96))</f>
        <v>Küçük ajans kurucusu yıllık yaklaşık 14 bin TL'yi puanlı fırsat listesi ve 3 koltuk için peşin öder</v>
      </c>
    </row>
    <row r="97">
      <c r="A97" s="5" t="n">
        <v>93</v>
      </c>
      <c r="B97" s="5">
        <f>IFERROR(MATCH(A97,Hesap!$Q$5:$Q$136,0),"")</f>
        <v>59</v>
      </c>
      <c r="C97" s="6" t="str">
        <f>IF(B97="","",INDEX(Hesap!$B$5:$B$136,B97))</f>
        <v>Ajanslar için aylık proje bazlı yapay zekâ maliyet raporu</v>
      </c>
      <c r="D97" s="6" t="str">
        <f>IF(B97="","",INDEX(Hesap!$C$5:$C$136,B97))</f>
        <v>Ajan gözlem paneli</v>
      </c>
      <c r="E97" s="7" t="str">
        <f>IF(B97="","",INDEX(Hesap!$N$5:$N$136,B97))</f>
        <v>Değiştir</v>
      </c>
      <c r="F97" s="7" t="str">
        <f>IF(B97="","",INDEX(Hesap!$D$5:$D$136,B97))</f>
        <v>test</v>
      </c>
      <c r="G97" s="8">
        <f>IF(B97="","",INDEX(Hesap!$E$5:$E$136,B97))</f>
        <v>45.2</v>
      </c>
      <c r="H97" s="8">
        <f>IF(B97="","",INDEX(Hesap!$G$5:$G$136,B97))</f>
        <v>13.88</v>
      </c>
      <c r="I97" s="9">
        <f>IF(B97="","",INDEX(Hesap!$H$5:$H$136,B97))</f>
        <v>0.04</v>
      </c>
      <c r="J97" s="8">
        <f>IF(B97="","",INDEX(Hesap!$I$5:$I$136,B97))</f>
        <v>40</v>
      </c>
      <c r="K97" s="10">
        <f>IF(B97="","",INDEX(Hesap!$J$5:$J$136,B97))</f>
        <v>-1200</v>
      </c>
      <c r="L97" s="10">
        <f>IF(B97="","",INDEX(Finans!$AG$5:$AG$136,B97))</f>
        <v>-20.33898305084746</v>
      </c>
      <c r="M97" s="5">
        <f>IF(B97="","",INDEX(Finans!$K$5:$K$136,B97))</f>
        <v>75</v>
      </c>
      <c r="N97" s="5">
        <f>IF(B97="","",INDEX(Hesap!$T$5:$T$136,B97))</f>
        <v>49</v>
      </c>
      <c r="O97" s="6" t="str">
        <f>IF(B97="","",INDEX(Deneyler!$C$5:$C$136,B97))</f>
        <v>Ajans sahipleri proje bazlı yapay zekâ maliyeti için aylık ücret öder</v>
      </c>
    </row>
    <row r="98">
      <c r="A98" s="5" t="n">
        <v>94</v>
      </c>
      <c r="B98" s="5">
        <f>IFERROR(MATCH(A98,Hesap!$Q$5:$Q$136,0),"")</f>
        <v>108</v>
      </c>
      <c r="C98" s="6" t="str">
        <f>IF(B98="","",INDEX(Hesap!$B$5:$B$136,B98))</f>
        <v>Ajans paketi: Team lisansı ve 1 günlük atölye (Türkiye)</v>
      </c>
      <c r="D98" s="6" t="str">
        <f>IF(B98="","",INDEX(Hesap!$C$5:$C$136,B98))</f>
        <v>Çok kiracılı SaaS arka uç başlangıç kiti (metaframer-kernel)</v>
      </c>
      <c r="E98" s="7" t="str">
        <f>IF(B98="","",INDEX(Hesap!$N$5:$N$136,B98))</f>
        <v>Değiştir</v>
      </c>
      <c r="F98" s="7" t="str">
        <f>IF(B98="","",INDEX(Hesap!$D$5:$D$136,B98))</f>
        <v>test</v>
      </c>
      <c r="G98" s="8">
        <f>IF(B98="","",INDEX(Hesap!$E$5:$E$136,B98))</f>
        <v>45</v>
      </c>
      <c r="H98" s="8">
        <f>IF(B98="","",INDEX(Hesap!$G$5:$G$136,B98))</f>
        <v>13.86</v>
      </c>
      <c r="I98" s="9">
        <f>IF(B98="","",INDEX(Hesap!$H$5:$H$136,B98))</f>
        <v>0.03</v>
      </c>
      <c r="J98" s="8">
        <f>IF(B98="","",INDEX(Hesap!$I$5:$I$136,B98))</f>
        <v>45</v>
      </c>
      <c r="K98" s="10">
        <f>IF(B98="","",INDEX(Hesap!$J$5:$J$136,B98))</f>
        <v>8200</v>
      </c>
      <c r="L98" s="10">
        <f>IF(B98="","",INDEX(Finans!$AG$5:$AG$136,B98))</f>
        <v>31.4176245210728</v>
      </c>
      <c r="M98" s="5">
        <f>IF(B98="","",INDEX(Finans!$K$5:$K$136,B98))</f>
        <v>60</v>
      </c>
      <c r="N98" s="5">
        <f>IF(B98="","",INDEX(Hesap!$T$5:$T$136,B98))</f>
        <v>91</v>
      </c>
      <c r="O98" s="6" t="str">
        <f>IF(B98="","",INDEX(Deneyler!$C$5:$C$136,B98))</f>
        <v>Ajans backend ekipleri güvenlik anketi acısı için sabit fiyatlı paket öder</v>
      </c>
    </row>
    <row r="99">
      <c r="A99" s="5" t="n">
        <v>95</v>
      </c>
      <c r="B99" s="5">
        <f>IFERROR(MATCH(A99,Hesap!$Q$5:$Q$136,0),"")</f>
        <v>103</v>
      </c>
      <c r="C99" s="6" t="str">
        <f>IF(B99="","",INDEX(Hesap!$B$5:$B$136,B99))</f>
        <v>Freelancer haftalık çalışma kaydı: yerel CSV ve kurulum paketi</v>
      </c>
      <c r="D99" s="6" t="str">
        <f>IF(B99="","",INDEX(Hesap!$C$5:$C$136,B99))</f>
        <v>LifeOS (yeni sekme ve alışkanlık eklentisi)</v>
      </c>
      <c r="E99" s="7" t="str">
        <f>IF(B99="","",INDEX(Hesap!$N$5:$N$136,B99))</f>
        <v>Değiştir</v>
      </c>
      <c r="F99" s="7" t="str">
        <f>IF(B99="","",INDEX(Hesap!$D$5:$D$136,B99))</f>
        <v>test</v>
      </c>
      <c r="G99" s="8">
        <f>IF(B99="","",INDEX(Hesap!$E$5:$E$136,B99))</f>
        <v>45.6</v>
      </c>
      <c r="H99" s="8">
        <f>IF(B99="","",INDEX(Hesap!$G$5:$G$136,B99))</f>
        <v>13.84</v>
      </c>
      <c r="I99" s="9">
        <f>IF(B99="","",INDEX(Hesap!$H$5:$H$136,B99))</f>
        <v>0.04</v>
      </c>
      <c r="J99" s="8">
        <f>IF(B99="","",INDEX(Hesap!$I$5:$I$136,B99))</f>
        <v>30</v>
      </c>
      <c r="K99" s="10">
        <f>IF(B99="","",INDEX(Hesap!$J$5:$J$136,B99))</f>
        <v>-1710</v>
      </c>
      <c r="L99" s="10">
        <f>IF(B99="","",INDEX(Finans!$AG$5:$AG$136,B99))</f>
        <v>-15.58086560364465</v>
      </c>
      <c r="M99" s="5">
        <f>IF(B99="","",INDEX(Finans!$K$5:$K$136,B99))</f>
        <v>45</v>
      </c>
      <c r="N99" s="5">
        <f>IF(B99="","",INDEX(Hesap!$T$5:$T$136,B99))</f>
        <v>90</v>
      </c>
      <c r="O99" s="6" t="str">
        <f>IF(B99="","",INDEX(Deneyler!$C$5:$C$136,B99))</f>
        <v>Freelancer'lar kendi çıktısı müşteri tarafından kabul edilen haftalık CSV için 600 TL öder</v>
      </c>
    </row>
    <row r="100">
      <c r="A100" s="5" t="n">
        <v>96</v>
      </c>
      <c r="B100" s="5">
        <f>IFERROR(MATCH(A100,Hesap!$Q$5:$Q$136,0),"")</f>
        <v>132</v>
      </c>
      <c r="C100" s="6" t="str">
        <f>IF(B100="","",INDEX(Hesap!$B$5:$B$136,B100))</f>
        <v>Kamu destek programı başvurusu: TÜBİTAK 1812 ön tohum yatırımı</v>
      </c>
      <c r="D100" s="6" t="str">
        <f>IF(B100="","",INDEX(Hesap!$C$5:$C$136,B100))</f>
        <v>Baz seçenekler: günlük danışmanlık, kod satışı, hibe başvurusu</v>
      </c>
      <c r="E100" s="7" t="str">
        <f>IF(B100="","",INDEX(Hesap!$N$5:$N$136,B100))</f>
        <v>Bırak</v>
      </c>
      <c r="F100" s="7" t="str">
        <f>IF(B100="","",INDEX(Hesap!$D$5:$D$136,B100))</f>
        <v>test</v>
      </c>
      <c r="G100" s="8">
        <f>IF(B100="","",INDEX(Hesap!$E$5:$E$136,B100))</f>
        <v>41.8</v>
      </c>
      <c r="H100" s="8">
        <f>IF(B100="","",INDEX(Hesap!$G$5:$G$136,B100))</f>
        <v>17.94</v>
      </c>
      <c r="I100" s="9">
        <f>IF(B100="","",INDEX(Hesap!$H$5:$H$136,B100))</f>
        <v>0.67</v>
      </c>
      <c r="J100" s="8">
        <f>IF(B100="","",INDEX(Hesap!$I$5:$I$136,B100))</f>
        <v>25</v>
      </c>
      <c r="K100" s="10">
        <f>IF(B100="","",INDEX(Hesap!$J$5:$J$136,B100))</f>
        <v>-43000</v>
      </c>
      <c r="L100" s="10">
        <f>IF(B100="","",INDEX(Finans!$AG$5:$AG$136,B100))</f>
        <v>-716.6666666666666</v>
      </c>
      <c r="M100" s="5">
        <f>IF(B100="","",INDEX(Finans!$K$5:$K$136,B100))</f>
        <v>110</v>
      </c>
      <c r="N100" s="5">
        <f>IF(B100="","",INDEX(Hesap!$T$5:$T$136,B100))</f>
        <v>21</v>
      </c>
      <c r="O100" s="6" t="str">
        <f>IF(B100="","",INDEX(Deneyler!$C$5:$C$136,B100))</f>
        <v>Sonraki çağrı 6 ay içinde açılır ve proje uygunluk şartlarını (şirket yapısı, rozet) sağlar</v>
      </c>
    </row>
    <row r="101">
      <c r="A101" s="5" t="n">
        <v>97</v>
      </c>
      <c r="B101" s="5">
        <f>IFERROR(MATCH(A101,Hesap!$Q$5:$Q$136,0),"")</f>
        <v>131</v>
      </c>
      <c r="C101" s="6" t="str">
        <f>IF(B101="","",INDEX(Hesap!$B$5:$B$136,B101))</f>
        <v>Mevcut Django kod tabanının ajanslara kurulumlu satışı</v>
      </c>
      <c r="D101" s="6" t="str">
        <f>IF(B101="","",INDEX(Hesap!$C$5:$C$136,B101))</f>
        <v>Baz seçenekler: günlük danışmanlık, kod satışı, hibe başvurusu</v>
      </c>
      <c r="E101" s="7" t="str">
        <f>IF(B101="","",INDEX(Hesap!$N$5:$N$136,B101))</f>
        <v>Bırak</v>
      </c>
      <c r="F101" s="7" t="str">
        <f>IF(B101="","",INDEX(Hesap!$D$5:$D$136,B101))</f>
        <v>test</v>
      </c>
      <c r="G101" s="8">
        <f>IF(B101="","",INDEX(Hesap!$E$5:$E$136,B101))</f>
        <v>43</v>
      </c>
      <c r="H101" s="8">
        <f>IF(B101="","",INDEX(Hesap!$G$5:$G$136,B101))</f>
        <v>16.06</v>
      </c>
      <c r="I101" s="9">
        <f>IF(B101="","",INDEX(Hesap!$H$5:$H$136,B101))</f>
        <v>0.34</v>
      </c>
      <c r="J101" s="8">
        <f>IF(B101="","",INDEX(Hesap!$I$5:$I$136,B101))</f>
        <v>35</v>
      </c>
      <c r="K101" s="10">
        <f>IF(B101="","",INDEX(Hesap!$J$5:$J$136,B101))</f>
        <v>13500</v>
      </c>
      <c r="L101" s="10">
        <f>IF(B101="","",INDEX(Finans!$AG$5:$AG$136,B101))</f>
        <v>134.5514950166113</v>
      </c>
      <c r="M101" s="5">
        <f>IF(B101="","",INDEX(Finans!$K$5:$K$136,B101))</f>
        <v>60</v>
      </c>
      <c r="N101" s="5">
        <f>IF(B101="","",INDEX(Hesap!$T$5:$T$136,B101))</f>
        <v>98</v>
      </c>
      <c r="O101" s="6" t="str">
        <f>IF(B101="","",INDEX(Deneyler!$C$5:$C$136,B101))</f>
        <v>Ajanslar 19-89 USD'lik betik yerine 15.000-25.000 ₺'lik kurulumlu çekirdeği satın alır</v>
      </c>
    </row>
    <row r="102">
      <c r="A102" s="5" t="n">
        <v>98</v>
      </c>
      <c r="B102" s="5">
        <f>IFERROR(MATCH(A102,Hesap!$Q$5:$Q$136,0),"")</f>
        <v>44</v>
      </c>
      <c r="C102" s="6" t="str">
        <f>IF(B102="","",INDEX(Hesap!$B$5:$B$136,B102))</f>
        <v>Acente Sheet doğrulama ve eksik belge kuyruğu (ücretli pilot)</v>
      </c>
      <c r="D102" s="6" t="str">
        <f>IF(B102="","",INDEX(Hesap!$C$5:$C$136,B102))</f>
        <v>Vize acentesi operasyon platformu</v>
      </c>
      <c r="E102" s="7" t="str">
        <f>IF(B102="","",INDEX(Hesap!$N$5:$N$136,B102))</f>
        <v>Bırak</v>
      </c>
      <c r="F102" s="7" t="str">
        <f>IF(B102="","",INDEX(Hesap!$D$5:$D$136,B102))</f>
        <v>test</v>
      </c>
      <c r="G102" s="8">
        <f>IF(B102="","",INDEX(Hesap!$E$5:$E$136,B102))</f>
        <v>42.6</v>
      </c>
      <c r="H102" s="8">
        <f>IF(B102="","",INDEX(Hesap!$G$5:$G$136,B102))</f>
        <v>15.1</v>
      </c>
      <c r="I102" s="9">
        <f>IF(B102="","",INDEX(Hesap!$H$5:$H$136,B102))</f>
        <v>0.23</v>
      </c>
      <c r="J102" s="8">
        <f>IF(B102="","",INDEX(Hesap!$I$5:$I$136,B102))</f>
        <v>45</v>
      </c>
      <c r="K102" s="10">
        <f>IF(B102="","",INDEX(Hesap!$J$5:$J$136,B102))</f>
        <v>-27200</v>
      </c>
      <c r="L102" s="10">
        <f>IF(B102="","",INDEX(Finans!$AG$5:$AG$136,B102))</f>
        <v>-119.2982456140351</v>
      </c>
      <c r="M102" s="5">
        <f>IF(B102="","",INDEX(Finans!$K$5:$K$136,B102))</f>
        <v>50</v>
      </c>
      <c r="N102" s="5">
        <f>IF(B102="","",INDEX(Hesap!$T$5:$T$136,B102))</f>
        <v>109</v>
      </c>
      <c r="O102" s="6" t="str">
        <f>IF(B102="","",INDEX(Deneyler!$C$5:$C$136,B102))</f>
        <v>Acente, eksik belge kuyruğu için kurulum ücreti ve aylık ücret öder; kural doğruluğu ve veri güveni yeterli bulunur</v>
      </c>
    </row>
    <row r="103">
      <c r="A103" s="5" t="n">
        <v>99</v>
      </c>
      <c r="B103" s="5">
        <f>IFERROR(MATCH(A103,Hesap!$Q$5:$Q$136,0),"")</f>
        <v>48</v>
      </c>
      <c r="C103" s="6" t="str">
        <f>IF(B103="","",INDEX(Hesap!$B$5:$B$136,B103))</f>
        <v>Ajanslara beyaz etiket kanıtlı MVP kapasitesi</v>
      </c>
      <c r="D103" s="6" t="str">
        <f>IF(B103="","",INDEX(Hesap!$C$5:$C$136,B103))</f>
        <v>software-factory (yapay zekâ destekli yazılım üretim hattı hizmeti)</v>
      </c>
      <c r="E103" s="7" t="str">
        <f>IF(B103="","",INDEX(Hesap!$N$5:$N$136,B103))</f>
        <v>Bırak</v>
      </c>
      <c r="F103" s="7" t="str">
        <f>IF(B103="","",INDEX(Hesap!$D$5:$D$136,B103))</f>
        <v>test</v>
      </c>
      <c r="G103" s="8">
        <f>IF(B103="","",INDEX(Hesap!$E$5:$E$136,B103))</f>
        <v>44.2</v>
      </c>
      <c r="H103" s="8">
        <f>IF(B103="","",INDEX(Hesap!$G$5:$G$136,B103))</f>
        <v>14.74</v>
      </c>
      <c r="I103" s="9">
        <f>IF(B103="","",INDEX(Hesap!$H$5:$H$136,B103))</f>
        <v>0.11</v>
      </c>
      <c r="J103" s="8">
        <f>IF(B103="","",INDEX(Hesap!$I$5:$I$136,B103))</f>
        <v>45</v>
      </c>
      <c r="K103" s="10">
        <f>IF(B103="","",INDEX(Hesap!$J$5:$J$136,B103))</f>
        <v>-21250</v>
      </c>
      <c r="L103" s="10">
        <f>IF(B103="","",INDEX(Finans!$AG$5:$AG$136,B103))</f>
        <v>-97.92626728110599</v>
      </c>
      <c r="M103" s="5">
        <f>IF(B103="","",INDEX(Finans!$K$5:$K$136,B103))</f>
        <v>75</v>
      </c>
      <c r="N103" s="5">
        <f>IF(B103="","",INDEX(Hesap!$T$5:$T$136,B103))</f>
        <v>81</v>
      </c>
      <c r="O103" s="6" t="str">
        <f>IF(B103="","",INDEX(Deneyler!$C$5:$C$136,B103))</f>
        <v>Geliştirici kadrosu olmayan bir ajans, kendi markasıyla kanıtlı MVP satmak için toptan fiyatla S paket deneme işi verir</v>
      </c>
    </row>
    <row r="104">
      <c r="A104" s="5" t="n">
        <v>100</v>
      </c>
      <c r="B104" s="5">
        <f>IFERROR(MATCH(A104,Hesap!$Q$5:$Q$136,0),"")</f>
        <v>74</v>
      </c>
      <c r="C104" s="6" t="str">
        <f>IF(B104="","",INDEX(Hesap!$B$5:$B$136,B104))</f>
        <v>Ajanslara toplu banner paketi (CSV)</v>
      </c>
      <c r="D104" s="6" t="str">
        <f>IF(B104="","",INDEX(Hesap!$C$5:$C$136,B104))</f>
        <v>Banner ve gönderi üretim sistemi</v>
      </c>
      <c r="E104" s="7" t="str">
        <f>IF(B104="","",INDEX(Hesap!$N$5:$N$136,B104))</f>
        <v>Bırak</v>
      </c>
      <c r="F104" s="7" t="str">
        <f>IF(B104="","",INDEX(Hesap!$D$5:$D$136,B104))</f>
        <v>test</v>
      </c>
      <c r="G104" s="8">
        <f>IF(B104="","",INDEX(Hesap!$E$5:$E$136,B104))</f>
        <v>44.2</v>
      </c>
      <c r="H104" s="8">
        <f>IF(B104="","",INDEX(Hesap!$G$5:$G$136,B104))</f>
        <v>14.46</v>
      </c>
      <c r="I104" s="9">
        <f>IF(B104="","",INDEX(Hesap!$H$5:$H$136,B104))</f>
        <v>0.13</v>
      </c>
      <c r="J104" s="8">
        <f>IF(B104="","",INDEX(Hesap!$I$5:$I$136,B104))</f>
        <v>35</v>
      </c>
      <c r="K104" s="10">
        <f>IF(B104="","",INDEX(Hesap!$J$5:$J$136,B104))</f>
        <v>3000</v>
      </c>
      <c r="L104" s="10">
        <f>IF(B104="","",INDEX(Finans!$AG$5:$AG$136,B104))</f>
        <v>41.37931034482759</v>
      </c>
      <c r="M104" s="5">
        <f>IF(B104="","",INDEX(Finans!$K$5:$K$136,B104))</f>
        <v>21</v>
      </c>
      <c r="N104" s="5">
        <f>IF(B104="","",INDEX(Hesap!$T$5:$T$136,B104))</f>
        <v>39</v>
      </c>
      <c r="O104" s="6" t="str">
        <f>IF(B104="","",INDEX(Deneyler!$C$5:$C$136,B104))</f>
        <v>Bir ajans, tek briefin varyantları için tek seferlik ücret öder</v>
      </c>
    </row>
    <row r="105">
      <c r="A105" s="5" t="n">
        <v>101</v>
      </c>
      <c r="B105" s="5">
        <f>IFERROR(MATCH(A105,Hesap!$Q$5:$Q$136,0),"")</f>
        <v>109</v>
      </c>
      <c r="C105" s="6" t="str">
        <f>IF(B105="","",INDEX(Hesap!$B$5:$B$136,B105))</f>
        <v>Tek eylem çok kiracılı güvenlik entegrasyon paketi</v>
      </c>
      <c r="D105" s="6" t="str">
        <f>IF(B105="","",INDEX(Hesap!$C$5:$C$136,B105))</f>
        <v>Çok kiracılı SaaS arka uç başlangıç kiti (metaframer-kernel)</v>
      </c>
      <c r="E105" s="7" t="str">
        <f>IF(B105="","",INDEX(Hesap!$N$5:$N$136,B105))</f>
        <v>Bırak</v>
      </c>
      <c r="F105" s="7" t="str">
        <f>IF(B105="","",INDEX(Hesap!$D$5:$D$136,B105))</f>
        <v>test</v>
      </c>
      <c r="G105" s="8">
        <f>IF(B105="","",INDEX(Hesap!$E$5:$E$136,B105))</f>
        <v>43.4</v>
      </c>
      <c r="H105" s="8">
        <f>IF(B105="","",INDEX(Hesap!$G$5:$G$136,B105))</f>
        <v>14.06</v>
      </c>
      <c r="I105" s="9">
        <f>IF(B105="","",INDEX(Hesap!$H$5:$H$136,B105))</f>
        <v>0.1</v>
      </c>
      <c r="J105" s="8">
        <f>IF(B105="","",INDEX(Hesap!$I$5:$I$136,B105))</f>
        <v>30</v>
      </c>
      <c r="K105" s="10">
        <f>IF(B105="","",INDEX(Hesap!$J$5:$J$136,B105))</f>
        <v>57900</v>
      </c>
      <c r="L105" s="10">
        <f>IF(B105="","",INDEX(Finans!$AG$5:$AG$136,B105))</f>
        <v>332.7586206896552</v>
      </c>
      <c r="M105" s="5">
        <f>IF(B105="","",INDEX(Finans!$K$5:$K$136,B105))</f>
        <v>30</v>
      </c>
      <c r="N105" s="5">
        <f>IF(B105="","",INDEX(Hesap!$T$5:$T$136,B105))</f>
        <v>105</v>
      </c>
      <c r="O105" s="6" t="str">
        <f>IF(B105="","",INDEX(Deneyler!$C$5:$C$136,B105))</f>
        <v>Küçük SaaS şirketleri tek eylem güvenlik entegrasyonu için sabit paket öder</v>
      </c>
    </row>
    <row r="106">
      <c r="A106" s="5" t="n">
        <v>102</v>
      </c>
      <c r="B106" s="5">
        <f>IFERROR(MATCH(A106,Hesap!$Q$5:$Q$136,0),"")</f>
        <v>70</v>
      </c>
      <c r="C106" s="6" t="str">
        <f>IF(B106="","",INDEX(Hesap!$B$5:$B$136,B106))</f>
        <v>Tek ürün, iki mobil alıcı görünümü (sabit paket)</v>
      </c>
      <c r="D106" s="6" t="str">
        <f>IF(B106="","",INDEX(Hesap!$C$5:$C$136,B106))</f>
        <v>B2B ürün sayfası ve animasyon bileşenleri</v>
      </c>
      <c r="E106" s="7" t="str">
        <f>IF(B106="","",INDEX(Hesap!$N$5:$N$136,B106))</f>
        <v>Bırak</v>
      </c>
      <c r="F106" s="7" t="str">
        <f>IF(B106="","",INDEX(Hesap!$D$5:$D$136,B106))</f>
        <v>test</v>
      </c>
      <c r="G106" s="8">
        <f>IF(B106="","",INDEX(Hesap!$E$5:$E$136,B106))</f>
        <v>43.6</v>
      </c>
      <c r="H106" s="8">
        <f>IF(B106="","",INDEX(Hesap!$G$5:$G$136,B106))</f>
        <v>13.92</v>
      </c>
      <c r="I106" s="9">
        <f>IF(B106="","",INDEX(Hesap!$H$5:$H$136,B106))</f>
        <v>0.07</v>
      </c>
      <c r="J106" s="8">
        <f>IF(B106="","",INDEX(Hesap!$I$5:$I$136,B106))</f>
        <v>40</v>
      </c>
      <c r="K106" s="10">
        <f>IF(B106="","",INDEX(Hesap!$J$5:$J$136,B106))</f>
        <v>6600</v>
      </c>
      <c r="L106" s="10">
        <f>IF(B106="","",INDEX(Finans!$AG$5:$AG$136,B106))</f>
        <v>69.23076923076923</v>
      </c>
      <c r="M106" s="5">
        <f>IF(B106="","",INDEX(Finans!$K$5:$K$136,B106))</f>
        <v>40</v>
      </c>
      <c r="N106" s="5">
        <f>IF(B106="","",INDEX(Hesap!$T$5:$T$136,B106))</f>
        <v>56</v>
      </c>
      <c r="O106" s="6" t="str">
        <f>IF(B106="","",INDEX(Deneyler!$C$5:$C$136,B106))</f>
        <v>Ajans ya da ekip, tek ürünlük iki görünüm örneğini 12.000 ₺'ye satın alır</v>
      </c>
    </row>
    <row r="107">
      <c r="A107" s="5" t="n">
        <v>103</v>
      </c>
      <c r="B107" s="5">
        <f>IFERROR(MATCH(A107,Hesap!$Q$5:$Q$136,0),"")</f>
        <v>88</v>
      </c>
      <c r="C107" s="6" t="str">
        <f>IF(B107="","",INDEX(Hesap!$B$5:$B$136,B107))</f>
        <v>20 alanlı form şemasından JSON ve React dışa aktarım işi</v>
      </c>
      <c r="D107" s="6" t="str">
        <f>IF(B107="","",INDEX(Hesap!$C$5:$C$136,B107))</f>
        <v>Geliştirici paneli desenleri (devpanel)</v>
      </c>
      <c r="E107" s="7" t="str">
        <f>IF(B107="","",INDEX(Hesap!$N$5:$N$136,B107))</f>
        <v>Bırak</v>
      </c>
      <c r="F107" s="7" t="str">
        <f>IF(B107="","",INDEX(Hesap!$D$5:$D$136,B107))</f>
        <v>test</v>
      </c>
      <c r="G107" s="8">
        <f>IF(B107="","",INDEX(Hesap!$E$5:$E$136,B107))</f>
        <v>41.4</v>
      </c>
      <c r="H107" s="8">
        <f>IF(B107="","",INDEX(Hesap!$G$5:$G$136,B107))</f>
        <v>13.3</v>
      </c>
      <c r="I107" s="9">
        <f>IF(B107="","",INDEX(Hesap!$H$5:$H$136,B107))</f>
        <v>0.1</v>
      </c>
      <c r="J107" s="8">
        <f>IF(B107="","",INDEX(Hesap!$I$5:$I$136,B107))</f>
        <v>40</v>
      </c>
      <c r="K107" s="10">
        <f>IF(B107="","",INDEX(Hesap!$J$5:$J$136,B107))</f>
        <v>-3900</v>
      </c>
      <c r="L107" s="10">
        <f>IF(B107="","",INDEX(Finans!$AG$5:$AG$136,B107))</f>
        <v>-60.9375</v>
      </c>
      <c r="M107" s="5">
        <f>IF(B107="","",INDEX(Finans!$K$5:$K$136,B107))</f>
        <v>60</v>
      </c>
      <c r="N107" s="5">
        <f>IF(B107="","",INDEX(Hesap!$T$5:$T$136,B107))</f>
        <v>43</v>
      </c>
      <c r="O107" s="6" t="str">
        <f>IF(B107="","",INDEX(Deneyler!$C$5:$C$136,B107))</f>
        <v>Ajans frontend liderleri, form dışa aktarımı için ücretsiz form kütüphaneleri varken para öder</v>
      </c>
    </row>
    <row r="108">
      <c r="A108" s="5" t="n">
        <v>104</v>
      </c>
      <c r="B108" s="5">
        <f>IFERROR(MATCH(A108,Hesap!$Q$5:$Q$136,0),"")</f>
        <v>6</v>
      </c>
      <c r="C108" s="6" t="str">
        <f>IF(B108="","",INDEX(Hesap!$B$5:$B$136,B108))</f>
        <v>Uzmanlı karar dosyası: kaynak izli arsa raporu (danışmanlık ofisi)</v>
      </c>
      <c r="D108" s="6" t="str">
        <f>IF(B108="","",INDEX(Hesap!$C$5:$C$136,B108))</f>
        <v>arsam.net / ParselQ (arsa raporu, emlakçı aracı, pazar yeri)</v>
      </c>
      <c r="E108" s="7" t="str">
        <f>IF(B108="","",INDEX(Hesap!$N$5:$N$136,B108))</f>
        <v>Bırak</v>
      </c>
      <c r="F108" s="7" t="str">
        <f>IF(B108="","",INDEX(Hesap!$D$5:$D$136,B108))</f>
        <v>test</v>
      </c>
      <c r="G108" s="8">
        <f>IF(B108="","",INDEX(Hesap!$E$5:$E$136,B108))</f>
        <v>42.6</v>
      </c>
      <c r="H108" s="8">
        <f>IF(B108="","",INDEX(Hesap!$G$5:$G$136,B108))</f>
        <v>13.26</v>
      </c>
      <c r="I108" s="9">
        <f>IF(B108="","",INDEX(Hesap!$H$5:$H$136,B108))</f>
        <v>0.04</v>
      </c>
      <c r="J108" s="8">
        <f>IF(B108="","",INDEX(Hesap!$I$5:$I$136,B108))</f>
        <v>45</v>
      </c>
      <c r="K108" s="10">
        <f>IF(B108="","",INDEX(Hesap!$J$5:$J$136,B108))</f>
        <v>-8040</v>
      </c>
      <c r="L108" s="10">
        <f>IF(B108="","",INDEX(Finans!$AG$5:$AG$136,B108))</f>
        <v>-86.45161290322581</v>
      </c>
      <c r="M108" s="5">
        <f>IF(B108="","",INDEX(Finans!$K$5:$K$136,B108))</f>
        <v>30</v>
      </c>
      <c r="N108" s="5">
        <f>IF(B108="","",INDEX(Hesap!$T$5:$T$136,B108))</f>
        <v>93</v>
      </c>
      <c r="O108" s="6" t="str">
        <f>IF(B108="","",INDEX(Deneyler!$C$5:$C$136,B108))</f>
        <v>Gerçek ilişkisi olan bir danışmanlık ofisi, uzman onaylı kaynak izli dosyaya rapor başına 4.000 ₺ ödeyecek ve ikinci dosyayı getirecek</v>
      </c>
    </row>
    <row r="109">
      <c r="A109" s="5" t="n">
        <v>105</v>
      </c>
      <c r="B109" s="5">
        <f>IFERROR(MATCH(A109,Hesap!$Q$5:$Q$136,0),"")</f>
        <v>39</v>
      </c>
      <c r="C109" s="6" t="str">
        <f>IF(B109="","",INDEX(Hesap!$B$5:$B$136,B109))</f>
        <v>Facilitatör için özgün karar memosu kiti</v>
      </c>
      <c r="D109" s="6" t="str">
        <f>IF(B109="","",INDEX(Hesap!$C$5:$C$136,B109))</f>
        <v>Karar Kitabı / Yöntem Atlası</v>
      </c>
      <c r="E109" s="7" t="str">
        <f>IF(B109="","",INDEX(Hesap!$N$5:$N$136,B109))</f>
        <v>Bırak</v>
      </c>
      <c r="F109" s="7" t="str">
        <f>IF(B109="","",INDEX(Hesap!$D$5:$D$136,B109))</f>
        <v>test</v>
      </c>
      <c r="G109" s="8">
        <f>IF(B109="","",INDEX(Hesap!$E$5:$E$136,B109))</f>
        <v>42.6</v>
      </c>
      <c r="H109" s="8">
        <f>IF(B109="","",INDEX(Hesap!$G$5:$G$136,B109))</f>
        <v>13.26</v>
      </c>
      <c r="I109" s="9">
        <f>IF(B109="","",INDEX(Hesap!$H$5:$H$136,B109))</f>
        <v>0.06</v>
      </c>
      <c r="J109" s="8">
        <f>IF(B109="","",INDEX(Hesap!$I$5:$I$136,B109))</f>
        <v>40</v>
      </c>
      <c r="K109" s="10">
        <f>IF(B109="","",INDEX(Hesap!$J$5:$J$136,B109))</f>
        <v>-9034</v>
      </c>
      <c r="L109" s="10">
        <f>IF(B109="","",INDEX(Finans!$AG$5:$AG$136,B109))</f>
        <v>-108.8433734939759</v>
      </c>
      <c r="M109" s="5">
        <f>IF(B109="","",INDEX(Finans!$K$5:$K$136,B109))</f>
        <v>60</v>
      </c>
      <c r="N109" s="5">
        <f>IF(B109="","",INDEX(Hesap!$T$5:$T$136,B109))</f>
        <v>57</v>
      </c>
      <c r="O109" s="6" t="str">
        <f>IF(B109="","",INDEX(Deneyler!$C$5:$C$136,B109))</f>
        <v>On facilitatör kendi Notion ve ücretsiz AI düzenine karşı gerçek bir fark ve ödeme nedeni görür</v>
      </c>
    </row>
    <row r="110">
      <c r="A110" s="5" t="n">
        <v>106</v>
      </c>
      <c r="B110" s="5">
        <f>IFERROR(MATCH(A110,Hesap!$Q$5:$Q$136,0),"")</f>
        <v>104</v>
      </c>
      <c r="C110" s="6" t="str">
        <f>IF(B110="","",INDEX(Hesap!$B$5:$B$136,B110))</f>
        <v>Tek rutin yeni sekme şablonu: açık çekirdek ve ücretli kit</v>
      </c>
      <c r="D110" s="6" t="str">
        <f>IF(B110="","",INDEX(Hesap!$C$5:$C$136,B110))</f>
        <v>LifeOS (yeni sekme ve alışkanlık eklentisi)</v>
      </c>
      <c r="E110" s="7" t="str">
        <f>IF(B110="","",INDEX(Hesap!$N$5:$N$136,B110))</f>
        <v>Bırak</v>
      </c>
      <c r="F110" s="7" t="str">
        <f>IF(B110="","",INDEX(Hesap!$D$5:$D$136,B110))</f>
        <v>test</v>
      </c>
      <c r="G110" s="8">
        <f>IF(B110="","",INDEX(Hesap!$E$5:$E$136,B110))</f>
        <v>43</v>
      </c>
      <c r="H110" s="8">
        <f>IF(B110="","",INDEX(Hesap!$G$5:$G$136,B110))</f>
        <v>13.22</v>
      </c>
      <c r="I110" s="9">
        <f>IF(B110="","",INDEX(Hesap!$H$5:$H$136,B110))</f>
        <v>0.08</v>
      </c>
      <c r="J110" s="8">
        <f>IF(B110="","",INDEX(Hesap!$I$5:$I$136,B110))</f>
        <v>40</v>
      </c>
      <c r="K110" s="10">
        <f>IF(B110="","",INDEX(Hesap!$J$5:$J$136,B110))</f>
        <v>684</v>
      </c>
      <c r="L110" s="10">
        <f>IF(B110="","",INDEX(Finans!$AG$5:$AG$136,B110))</f>
        <v>7.238095238095238</v>
      </c>
      <c r="M110" s="5">
        <f>IF(B110="","",INDEX(Finans!$K$5:$K$136,B110))</f>
        <v>40</v>
      </c>
      <c r="N110" s="5">
        <f>IF(B110="","",INDEX(Hesap!$T$5:$T$136,B110))</f>
        <v>22</v>
      </c>
      <c r="O110" s="6" t="str">
        <f>IF(B110="","",INDEX(Deneyler!$C$5:$C$136,B110))</f>
        <v>Eklenti geliştiricileri hazır tek rutin şablonuna 19 USD öder</v>
      </c>
    </row>
    <row r="111">
      <c r="A111" s="5" t="n">
        <v>107</v>
      </c>
      <c r="B111" s="5">
        <f>IFERROR(MATCH(A111,Hesap!$Q$5:$Q$136,0),"")</f>
        <v>127</v>
      </c>
      <c r="C111" s="6" t="str">
        <f>IF(B111="","",INDEX(Hesap!$B$5:$B$136,B111))</f>
        <v>Yorum göç hizmeti: izinli yorumları doğru ürüne eşleme</v>
      </c>
      <c r="D111" s="6" t="str">
        <f>IF(B111="","",INDEX(Hesap!$C$5:$C$136,B111))</f>
        <v>WooCommerce yorum ve taksit eklentisi (WooCommnts)</v>
      </c>
      <c r="E111" s="7" t="str">
        <f>IF(B111="","",INDEX(Hesap!$N$5:$N$136,B111))</f>
        <v>Bırak</v>
      </c>
      <c r="F111" s="7" t="str">
        <f>IF(B111="","",INDEX(Hesap!$D$5:$D$136,B111))</f>
        <v>test</v>
      </c>
      <c r="G111" s="8">
        <f>IF(B111="","",INDEX(Hesap!$E$5:$E$136,B111))</f>
        <v>40.4</v>
      </c>
      <c r="H111" s="8">
        <f>IF(B111="","",INDEX(Hesap!$G$5:$G$136,B111))</f>
        <v>13.2</v>
      </c>
      <c r="I111" s="9">
        <f>IF(B111="","",INDEX(Hesap!$H$5:$H$136,B111))</f>
        <v>0.12</v>
      </c>
      <c r="J111" s="8">
        <f>IF(B111="","",INDEX(Hesap!$I$5:$I$136,B111))</f>
        <v>25</v>
      </c>
      <c r="K111" s="10">
        <f>IF(B111="","",INDEX(Hesap!$J$5:$J$136,B111))</f>
        <v>4800</v>
      </c>
      <c r="L111" s="10">
        <f>IF(B111="","",INDEX(Finans!$AG$5:$AG$136,B111))</f>
        <v>48.64864864864865</v>
      </c>
      <c r="M111" s="5">
        <f>IF(B111="","",INDEX(Finans!$K$5:$K$136,B111))</f>
        <v>30</v>
      </c>
      <c r="N111" s="5">
        <f>IF(B111="","",INDEX(Hesap!$T$5:$T$136,B111))</f>
        <v>60</v>
      </c>
      <c r="O111" s="6" t="str">
        <f>IF(B111="","",INDEX(Deneyler!$C$5:$C$136,B111))</f>
        <v>Mağaza veya ajans, yorum göçü için sabit fiyatlı hizmete para öder</v>
      </c>
    </row>
    <row r="112">
      <c r="A112" s="5" t="n">
        <v>108</v>
      </c>
      <c r="B112" s="5">
        <f>IFERROR(MATCH(A112,Hesap!$Q$5:$Q$136,0),"")</f>
        <v>117</v>
      </c>
      <c r="C112" s="6" t="str">
        <f>IF(B112="","",INDEX(Hesap!$B$5:$B$136,B112))</f>
        <v>Mentor sürümü, kuluçka programlarına kurum lisansı</v>
      </c>
      <c r="D112" s="6" t="str">
        <f>IF(B112="","",INDEX(Hesap!$C$5:$C$136,B112))</f>
        <v>Kurucu Pusulası şablonu ve Kitap Atlası</v>
      </c>
      <c r="E112" s="7" t="str">
        <f>IF(B112="","",INDEX(Hesap!$N$5:$N$136,B112))</f>
        <v>Bırak</v>
      </c>
      <c r="F112" s="7" t="str">
        <f>IF(B112="","",INDEX(Hesap!$D$5:$D$136,B112))</f>
        <v>test</v>
      </c>
      <c r="G112" s="8">
        <f>IF(B112="","",INDEX(Hesap!$E$5:$E$136,B112))</f>
        <v>43.2</v>
      </c>
      <c r="H112" s="8">
        <f>IF(B112="","",INDEX(Hesap!$G$5:$G$136,B112))</f>
        <v>13.12</v>
      </c>
      <c r="I112" s="9">
        <f>IF(B112="","",INDEX(Hesap!$H$5:$H$136,B112))</f>
        <v>0.04</v>
      </c>
      <c r="J112" s="8">
        <f>IF(B112="","",INDEX(Hesap!$I$5:$I$136,B112))</f>
        <v>35</v>
      </c>
      <c r="K112" s="10">
        <f>IF(B112="","",INDEX(Hesap!$J$5:$J$136,B112))</f>
        <v>-7340</v>
      </c>
      <c r="L112" s="10">
        <f>IF(B112="","",INDEX(Finans!$AG$5:$AG$136,B112))</f>
        <v>-132.6506024096385</v>
      </c>
      <c r="M112" s="5">
        <f>IF(B112="","",INDEX(Finans!$K$5:$K$136,B112))</f>
        <v>60</v>
      </c>
      <c r="N112" s="5">
        <f>IF(B112="","",INDEX(Hesap!$T$5:$T$136,B112))</f>
        <v>53</v>
      </c>
      <c r="O112" s="6" t="str">
        <f>IF(B112="","",INDEX(Deneyler!$C$5:$C$136,B112))</f>
        <v>Program yöneticileri aynı karar iskeleti için kurum bütçesinden 1.490 TL öder ve tek fatura keser</v>
      </c>
    </row>
    <row r="113">
      <c r="A113" s="5" t="n">
        <v>109</v>
      </c>
      <c r="B113" s="5">
        <f>IFERROR(MATCH(A113,Hesap!$Q$5:$Q$136,0),"")</f>
        <v>115</v>
      </c>
      <c r="C113" s="6" t="str">
        <f>IF(B113="","",INDEX(Hesap!$B$5:$B$136,B113))</f>
        <v>Kaynaklı teslim portalı: 30 dokümanlık migration pilotu</v>
      </c>
      <c r="D113" s="6" t="str">
        <f>IF(B113="","",INDEX(Hesap!$C$5:$C$136,B113))</f>
        <v>Kurumsal SaaS mimarisi içerik ürünü (projector)</v>
      </c>
      <c r="E113" s="7" t="str">
        <f>IF(B113="","",INDEX(Hesap!$N$5:$N$136,B113))</f>
        <v>Bırak</v>
      </c>
      <c r="F113" s="7" t="str">
        <f>IF(B113="","",INDEX(Hesap!$D$5:$D$136,B113))</f>
        <v>test</v>
      </c>
      <c r="G113" s="8">
        <f>IF(B113="","",INDEX(Hesap!$E$5:$E$136,B113))</f>
        <v>40.6</v>
      </c>
      <c r="H113" s="8">
        <f>IF(B113="","",INDEX(Hesap!$G$5:$G$136,B113))</f>
        <v>13.1</v>
      </c>
      <c r="I113" s="9">
        <f>IF(B113="","",INDEX(Hesap!$H$5:$H$136,B113))</f>
        <v>0.1</v>
      </c>
      <c r="J113" s="8">
        <f>IF(B113="","",INDEX(Hesap!$I$5:$I$136,B113))</f>
        <v>40</v>
      </c>
      <c r="K113" s="10">
        <f>IF(B113="","",INDEX(Hesap!$J$5:$J$136,B113))</f>
        <v>3400</v>
      </c>
      <c r="L113" s="10">
        <f>IF(B113="","",INDEX(Finans!$AG$5:$AG$136,B113))</f>
        <v>17.89473684210526</v>
      </c>
      <c r="M113" s="5">
        <f>IF(B113="","",INDEX(Finans!$K$5:$K$136,B113))</f>
        <v>60</v>
      </c>
      <c r="N113" s="5">
        <f>IF(B113="","",INDEX(Hesap!$T$5:$T$136,B113))</f>
        <v>45</v>
      </c>
      <c r="O113" s="6" t="str">
        <f>IF(B113="","",INDEX(Deneyler!$C$5:$C$136,B113))</f>
        <v>Bir danışmanlık firması, 30 dokümanını kaynaklı portala taşıyan sabit kapsamlı pilot için ücret öder.</v>
      </c>
    </row>
    <row r="114">
      <c r="A114" s="5" t="n">
        <v>110</v>
      </c>
      <c r="B114" s="5">
        <f>IFERROR(MATCH(A114,Hesap!$Q$5:$Q$136,0),"")</f>
        <v>3</v>
      </c>
      <c r="C114" s="6" t="str">
        <f>IF(B114="","",INDEX(Hesap!$B$5:$B$136,B114))</f>
        <v>Restoran paneli modül uyarlama hizmeti</v>
      </c>
      <c r="D114" s="6" t="str">
        <f>IF(B114="","",INDEX(Hesap!$C$5:$C$136,B114))</f>
        <v>Zabuno (QR menü ve sipariş yazılımı)</v>
      </c>
      <c r="E114" s="7" t="str">
        <f>IF(B114="","",INDEX(Hesap!$N$5:$N$136,B114))</f>
        <v>Bırak</v>
      </c>
      <c r="F114" s="7" t="str">
        <f>IF(B114="","",INDEX(Hesap!$D$5:$D$136,B114))</f>
        <v>test</v>
      </c>
      <c r="G114" s="8">
        <f>IF(B114="","",INDEX(Hesap!$E$5:$E$136,B114))</f>
        <v>39.4</v>
      </c>
      <c r="H114" s="8">
        <f>IF(B114="","",INDEX(Hesap!$G$5:$G$136,B114))</f>
        <v>11.82</v>
      </c>
      <c r="I114" s="9">
        <f>IF(B114="","",INDEX(Hesap!$H$5:$H$136,B114))</f>
        <v>0</v>
      </c>
      <c r="J114" s="8">
        <f>IF(B114="","",INDEX(Hesap!$I$5:$I$136,B114))</f>
        <v>30</v>
      </c>
      <c r="K114" s="10">
        <f>IF(B114="","",INDEX(Hesap!$J$5:$J$136,B114))</f>
        <v>-500</v>
      </c>
      <c r="L114" s="10">
        <f>IF(B114="","",INDEX(Finans!$AG$5:$AG$136,B114))</f>
        <v>-5</v>
      </c>
      <c r="M114" s="5">
        <f>IF(B114="","",INDEX(Finans!$K$5:$K$136,B114))</f>
        <v>45</v>
      </c>
      <c r="N114" s="5">
        <f>IF(B114="","",INDEX(Hesap!$T$5:$T$136,B114))</f>
        <v>62</v>
      </c>
      <c r="O114" s="6" t="str">
        <f>IF(B114="","",INDEX(Deneyler!$C$5:$C$136,B114))</f>
        <v>Bir ajans veya restoran, anonim demoyu görünce tek modül için sabit paketi satın alır.</v>
      </c>
    </row>
    <row r="115">
      <c r="A115" s="5" t="n">
        <v>111</v>
      </c>
      <c r="B115" s="5" t="str">
        <f>IFERROR(MATCH(A115,Hesap!$Q$5:$Q$136,0),"")</f>
        <v/>
      </c>
      <c r="C115" s="6" t="str">
        <f>IF(B115="","",INDEX(Hesap!$B$5:$B$136,B115))</f>
        <v/>
      </c>
      <c r="D115" s="6" t="str">
        <f>IF(B115="","",INDEX(Hesap!$C$5:$C$136,B115))</f>
        <v/>
      </c>
      <c r="E115" s="7" t="str">
        <f>IF(B115="","",INDEX(Hesap!$N$5:$N$136,B115))</f>
        <v/>
      </c>
      <c r="F115" s="7" t="str">
        <f>IF(B115="","",INDEX(Hesap!$D$5:$D$136,B115))</f>
        <v/>
      </c>
      <c r="G115" s="8" t="str">
        <f>IF(B115="","",INDEX(Hesap!$E$5:$E$136,B115))</f>
        <v/>
      </c>
      <c r="H115" s="8" t="str">
        <f>IF(B115="","",INDEX(Hesap!$G$5:$G$136,B115))</f>
        <v/>
      </c>
      <c r="I115" s="9" t="str">
        <f>IF(B115="","",INDEX(Hesap!$H$5:$H$136,B115))</f>
        <v/>
      </c>
      <c r="J115" s="8" t="str">
        <f>IF(B115="","",INDEX(Hesap!$I$5:$I$136,B115))</f>
        <v/>
      </c>
      <c r="K115" s="10" t="str">
        <f>IF(B115="","",INDEX(Hesap!$J$5:$J$136,B115))</f>
        <v/>
      </c>
      <c r="L115" s="10" t="str">
        <f>IF(B115="","",INDEX(Finans!$AG$5:$AG$136,B115))</f>
        <v/>
      </c>
      <c r="M115" s="5" t="str">
        <f>IF(B115="","",INDEX(Finans!$K$5:$K$136,B115))</f>
        <v/>
      </c>
      <c r="N115" s="5" t="str">
        <f>IF(B115="","",INDEX(Hesap!$T$5:$T$136,B115))</f>
        <v/>
      </c>
      <c r="O115" s="6" t="str">
        <f>IF(B115="","",INDEX(Deneyler!$C$5:$C$136,B115))</f>
        <v/>
      </c>
    </row>
    <row r="116">
      <c r="A116" s="5" t="n">
        <v>112</v>
      </c>
      <c r="B116" s="5" t="str">
        <f>IFERROR(MATCH(A116,Hesap!$Q$5:$Q$136,0),"")</f>
        <v/>
      </c>
      <c r="C116" s="6" t="str">
        <f>IF(B116="","",INDEX(Hesap!$B$5:$B$136,B116))</f>
        <v/>
      </c>
      <c r="D116" s="6" t="str">
        <f>IF(B116="","",INDEX(Hesap!$C$5:$C$136,B116))</f>
        <v/>
      </c>
      <c r="E116" s="7" t="str">
        <f>IF(B116="","",INDEX(Hesap!$N$5:$N$136,B116))</f>
        <v/>
      </c>
      <c r="F116" s="7" t="str">
        <f>IF(B116="","",INDEX(Hesap!$D$5:$D$136,B116))</f>
        <v/>
      </c>
      <c r="G116" s="8" t="str">
        <f>IF(B116="","",INDEX(Hesap!$E$5:$E$136,B116))</f>
        <v/>
      </c>
      <c r="H116" s="8" t="str">
        <f>IF(B116="","",INDEX(Hesap!$G$5:$G$136,B116))</f>
        <v/>
      </c>
      <c r="I116" s="9" t="str">
        <f>IF(B116="","",INDEX(Hesap!$H$5:$H$136,B116))</f>
        <v/>
      </c>
      <c r="J116" s="8" t="str">
        <f>IF(B116="","",INDEX(Hesap!$I$5:$I$136,B116))</f>
        <v/>
      </c>
      <c r="K116" s="10" t="str">
        <f>IF(B116="","",INDEX(Hesap!$J$5:$J$136,B116))</f>
        <v/>
      </c>
      <c r="L116" s="10" t="str">
        <f>IF(B116="","",INDEX(Finans!$AG$5:$AG$136,B116))</f>
        <v/>
      </c>
      <c r="M116" s="5" t="str">
        <f>IF(B116="","",INDEX(Finans!$K$5:$K$136,B116))</f>
        <v/>
      </c>
      <c r="N116" s="5" t="str">
        <f>IF(B116="","",INDEX(Hesap!$T$5:$T$136,B116))</f>
        <v/>
      </c>
      <c r="O116" s="6" t="str">
        <f>IF(B116="","",INDEX(Deneyler!$C$5:$C$136,B116))</f>
        <v/>
      </c>
    </row>
    <row r="117">
      <c r="A117" s="5" t="n">
        <v>113</v>
      </c>
      <c r="B117" s="5" t="str">
        <f>IFERROR(MATCH(A117,Hesap!$Q$5:$Q$136,0),"")</f>
        <v/>
      </c>
      <c r="C117" s="6" t="str">
        <f>IF(B117="","",INDEX(Hesap!$B$5:$B$136,B117))</f>
        <v/>
      </c>
      <c r="D117" s="6" t="str">
        <f>IF(B117="","",INDEX(Hesap!$C$5:$C$136,B117))</f>
        <v/>
      </c>
      <c r="E117" s="7" t="str">
        <f>IF(B117="","",INDEX(Hesap!$N$5:$N$136,B117))</f>
        <v/>
      </c>
      <c r="F117" s="7" t="str">
        <f>IF(B117="","",INDEX(Hesap!$D$5:$D$136,B117))</f>
        <v/>
      </c>
      <c r="G117" s="8" t="str">
        <f>IF(B117="","",INDEX(Hesap!$E$5:$E$136,B117))</f>
        <v/>
      </c>
      <c r="H117" s="8" t="str">
        <f>IF(B117="","",INDEX(Hesap!$G$5:$G$136,B117))</f>
        <v/>
      </c>
      <c r="I117" s="9" t="str">
        <f>IF(B117="","",INDEX(Hesap!$H$5:$H$136,B117))</f>
        <v/>
      </c>
      <c r="J117" s="8" t="str">
        <f>IF(B117="","",INDEX(Hesap!$I$5:$I$136,B117))</f>
        <v/>
      </c>
      <c r="K117" s="10" t="str">
        <f>IF(B117="","",INDEX(Hesap!$J$5:$J$136,B117))</f>
        <v/>
      </c>
      <c r="L117" s="10" t="str">
        <f>IF(B117="","",INDEX(Finans!$AG$5:$AG$136,B117))</f>
        <v/>
      </c>
      <c r="M117" s="5" t="str">
        <f>IF(B117="","",INDEX(Finans!$K$5:$K$136,B117))</f>
        <v/>
      </c>
      <c r="N117" s="5" t="str">
        <f>IF(B117="","",INDEX(Hesap!$T$5:$T$136,B117))</f>
        <v/>
      </c>
      <c r="O117" s="6" t="str">
        <f>IF(B117="","",INDEX(Deneyler!$C$5:$C$136,B117))</f>
        <v/>
      </c>
    </row>
    <row r="118">
      <c r="A118" s="5" t="n">
        <v>114</v>
      </c>
      <c r="B118" s="5" t="str">
        <f>IFERROR(MATCH(A118,Hesap!$Q$5:$Q$136,0),"")</f>
        <v/>
      </c>
      <c r="C118" s="6" t="str">
        <f>IF(B118="","",INDEX(Hesap!$B$5:$B$136,B118))</f>
        <v/>
      </c>
      <c r="D118" s="6" t="str">
        <f>IF(B118="","",INDEX(Hesap!$C$5:$C$136,B118))</f>
        <v/>
      </c>
      <c r="E118" s="7" t="str">
        <f>IF(B118="","",INDEX(Hesap!$N$5:$N$136,B118))</f>
        <v/>
      </c>
      <c r="F118" s="7" t="str">
        <f>IF(B118="","",INDEX(Hesap!$D$5:$D$136,B118))</f>
        <v/>
      </c>
      <c r="G118" s="8" t="str">
        <f>IF(B118="","",INDEX(Hesap!$E$5:$E$136,B118))</f>
        <v/>
      </c>
      <c r="H118" s="8" t="str">
        <f>IF(B118="","",INDEX(Hesap!$G$5:$G$136,B118))</f>
        <v/>
      </c>
      <c r="I118" s="9" t="str">
        <f>IF(B118="","",INDEX(Hesap!$H$5:$H$136,B118))</f>
        <v/>
      </c>
      <c r="J118" s="8" t="str">
        <f>IF(B118="","",INDEX(Hesap!$I$5:$I$136,B118))</f>
        <v/>
      </c>
      <c r="K118" s="10" t="str">
        <f>IF(B118="","",INDEX(Hesap!$J$5:$J$136,B118))</f>
        <v/>
      </c>
      <c r="L118" s="10" t="str">
        <f>IF(B118="","",INDEX(Finans!$AG$5:$AG$136,B118))</f>
        <v/>
      </c>
      <c r="M118" s="5" t="str">
        <f>IF(B118="","",INDEX(Finans!$K$5:$K$136,B118))</f>
        <v/>
      </c>
      <c r="N118" s="5" t="str">
        <f>IF(B118="","",INDEX(Hesap!$T$5:$T$136,B118))</f>
        <v/>
      </c>
      <c r="O118" s="6" t="str">
        <f>IF(B118="","",INDEX(Deneyler!$C$5:$C$136,B118))</f>
        <v/>
      </c>
    </row>
    <row r="119">
      <c r="A119" s="5" t="n">
        <v>115</v>
      </c>
      <c r="B119" s="5" t="str">
        <f>IFERROR(MATCH(A119,Hesap!$Q$5:$Q$136,0),"")</f>
        <v/>
      </c>
      <c r="C119" s="6" t="str">
        <f>IF(B119="","",INDEX(Hesap!$B$5:$B$136,B119))</f>
        <v/>
      </c>
      <c r="D119" s="6" t="str">
        <f>IF(B119="","",INDEX(Hesap!$C$5:$C$136,B119))</f>
        <v/>
      </c>
      <c r="E119" s="7" t="str">
        <f>IF(B119="","",INDEX(Hesap!$N$5:$N$136,B119))</f>
        <v/>
      </c>
      <c r="F119" s="7" t="str">
        <f>IF(B119="","",INDEX(Hesap!$D$5:$D$136,B119))</f>
        <v/>
      </c>
      <c r="G119" s="8" t="str">
        <f>IF(B119="","",INDEX(Hesap!$E$5:$E$136,B119))</f>
        <v/>
      </c>
      <c r="H119" s="8" t="str">
        <f>IF(B119="","",INDEX(Hesap!$G$5:$G$136,B119))</f>
        <v/>
      </c>
      <c r="I119" s="9" t="str">
        <f>IF(B119="","",INDEX(Hesap!$H$5:$H$136,B119))</f>
        <v/>
      </c>
      <c r="J119" s="8" t="str">
        <f>IF(B119="","",INDEX(Hesap!$I$5:$I$136,B119))</f>
        <v/>
      </c>
      <c r="K119" s="10" t="str">
        <f>IF(B119="","",INDEX(Hesap!$J$5:$J$136,B119))</f>
        <v/>
      </c>
      <c r="L119" s="10" t="str">
        <f>IF(B119="","",INDEX(Finans!$AG$5:$AG$136,B119))</f>
        <v/>
      </c>
      <c r="M119" s="5" t="str">
        <f>IF(B119="","",INDEX(Finans!$K$5:$K$136,B119))</f>
        <v/>
      </c>
      <c r="N119" s="5" t="str">
        <f>IF(B119="","",INDEX(Hesap!$T$5:$T$136,B119))</f>
        <v/>
      </c>
      <c r="O119" s="6" t="str">
        <f>IF(B119="","",INDEX(Deneyler!$C$5:$C$136,B119))</f>
        <v/>
      </c>
    </row>
    <row r="120">
      <c r="A120" s="5" t="n">
        <v>116</v>
      </c>
      <c r="B120" s="5" t="str">
        <f>IFERROR(MATCH(A120,Hesap!$Q$5:$Q$136,0),"")</f>
        <v/>
      </c>
      <c r="C120" s="6" t="str">
        <f>IF(B120="","",INDEX(Hesap!$B$5:$B$136,B120))</f>
        <v/>
      </c>
      <c r="D120" s="6" t="str">
        <f>IF(B120="","",INDEX(Hesap!$C$5:$C$136,B120))</f>
        <v/>
      </c>
      <c r="E120" s="7" t="str">
        <f>IF(B120="","",INDEX(Hesap!$N$5:$N$136,B120))</f>
        <v/>
      </c>
      <c r="F120" s="7" t="str">
        <f>IF(B120="","",INDEX(Hesap!$D$5:$D$136,B120))</f>
        <v/>
      </c>
      <c r="G120" s="8" t="str">
        <f>IF(B120="","",INDEX(Hesap!$E$5:$E$136,B120))</f>
        <v/>
      </c>
      <c r="H120" s="8" t="str">
        <f>IF(B120="","",INDEX(Hesap!$G$5:$G$136,B120))</f>
        <v/>
      </c>
      <c r="I120" s="9" t="str">
        <f>IF(B120="","",INDEX(Hesap!$H$5:$H$136,B120))</f>
        <v/>
      </c>
      <c r="J120" s="8" t="str">
        <f>IF(B120="","",INDEX(Hesap!$I$5:$I$136,B120))</f>
        <v/>
      </c>
      <c r="K120" s="10" t="str">
        <f>IF(B120="","",INDEX(Hesap!$J$5:$J$136,B120))</f>
        <v/>
      </c>
      <c r="L120" s="10" t="str">
        <f>IF(B120="","",INDEX(Finans!$AG$5:$AG$136,B120))</f>
        <v/>
      </c>
      <c r="M120" s="5" t="str">
        <f>IF(B120="","",INDEX(Finans!$K$5:$K$136,B120))</f>
        <v/>
      </c>
      <c r="N120" s="5" t="str">
        <f>IF(B120="","",INDEX(Hesap!$T$5:$T$136,B120))</f>
        <v/>
      </c>
      <c r="O120" s="6" t="str">
        <f>IF(B120="","",INDEX(Deneyler!$C$5:$C$136,B120))</f>
        <v/>
      </c>
    </row>
    <row r="121">
      <c r="A121" s="5" t="n">
        <v>117</v>
      </c>
      <c r="B121" s="5" t="str">
        <f>IFERROR(MATCH(A121,Hesap!$Q$5:$Q$136,0),"")</f>
        <v/>
      </c>
      <c r="C121" s="6" t="str">
        <f>IF(B121="","",INDEX(Hesap!$B$5:$B$136,B121))</f>
        <v/>
      </c>
      <c r="D121" s="6" t="str">
        <f>IF(B121="","",INDEX(Hesap!$C$5:$C$136,B121))</f>
        <v/>
      </c>
      <c r="E121" s="7" t="str">
        <f>IF(B121="","",INDEX(Hesap!$N$5:$N$136,B121))</f>
        <v/>
      </c>
      <c r="F121" s="7" t="str">
        <f>IF(B121="","",INDEX(Hesap!$D$5:$D$136,B121))</f>
        <v/>
      </c>
      <c r="G121" s="8" t="str">
        <f>IF(B121="","",INDEX(Hesap!$E$5:$E$136,B121))</f>
        <v/>
      </c>
      <c r="H121" s="8" t="str">
        <f>IF(B121="","",INDEX(Hesap!$G$5:$G$136,B121))</f>
        <v/>
      </c>
      <c r="I121" s="9" t="str">
        <f>IF(B121="","",INDEX(Hesap!$H$5:$H$136,B121))</f>
        <v/>
      </c>
      <c r="J121" s="8" t="str">
        <f>IF(B121="","",INDEX(Hesap!$I$5:$I$136,B121))</f>
        <v/>
      </c>
      <c r="K121" s="10" t="str">
        <f>IF(B121="","",INDEX(Hesap!$J$5:$J$136,B121))</f>
        <v/>
      </c>
      <c r="L121" s="10" t="str">
        <f>IF(B121="","",INDEX(Finans!$AG$5:$AG$136,B121))</f>
        <v/>
      </c>
      <c r="M121" s="5" t="str">
        <f>IF(B121="","",INDEX(Finans!$K$5:$K$136,B121))</f>
        <v/>
      </c>
      <c r="N121" s="5" t="str">
        <f>IF(B121="","",INDEX(Hesap!$T$5:$T$136,B121))</f>
        <v/>
      </c>
      <c r="O121" s="6" t="str">
        <f>IF(B121="","",INDEX(Deneyler!$C$5:$C$136,B121))</f>
        <v/>
      </c>
    </row>
    <row r="122">
      <c r="A122" s="5" t="n">
        <v>118</v>
      </c>
      <c r="B122" s="5" t="str">
        <f>IFERROR(MATCH(A122,Hesap!$Q$5:$Q$136,0),"")</f>
        <v/>
      </c>
      <c r="C122" s="6" t="str">
        <f>IF(B122="","",INDEX(Hesap!$B$5:$B$136,B122))</f>
        <v/>
      </c>
      <c r="D122" s="6" t="str">
        <f>IF(B122="","",INDEX(Hesap!$C$5:$C$136,B122))</f>
        <v/>
      </c>
      <c r="E122" s="7" t="str">
        <f>IF(B122="","",INDEX(Hesap!$N$5:$N$136,B122))</f>
        <v/>
      </c>
      <c r="F122" s="7" t="str">
        <f>IF(B122="","",INDEX(Hesap!$D$5:$D$136,B122))</f>
        <v/>
      </c>
      <c r="G122" s="8" t="str">
        <f>IF(B122="","",INDEX(Hesap!$E$5:$E$136,B122))</f>
        <v/>
      </c>
      <c r="H122" s="8" t="str">
        <f>IF(B122="","",INDEX(Hesap!$G$5:$G$136,B122))</f>
        <v/>
      </c>
      <c r="I122" s="9" t="str">
        <f>IF(B122="","",INDEX(Hesap!$H$5:$H$136,B122))</f>
        <v/>
      </c>
      <c r="J122" s="8" t="str">
        <f>IF(B122="","",INDEX(Hesap!$I$5:$I$136,B122))</f>
        <v/>
      </c>
      <c r="K122" s="10" t="str">
        <f>IF(B122="","",INDEX(Hesap!$J$5:$J$136,B122))</f>
        <v/>
      </c>
      <c r="L122" s="10" t="str">
        <f>IF(B122="","",INDEX(Finans!$AG$5:$AG$136,B122))</f>
        <v/>
      </c>
      <c r="M122" s="5" t="str">
        <f>IF(B122="","",INDEX(Finans!$K$5:$K$136,B122))</f>
        <v/>
      </c>
      <c r="N122" s="5" t="str">
        <f>IF(B122="","",INDEX(Hesap!$T$5:$T$136,B122))</f>
        <v/>
      </c>
      <c r="O122" s="6" t="str">
        <f>IF(B122="","",INDEX(Deneyler!$C$5:$C$136,B122))</f>
        <v/>
      </c>
    </row>
    <row r="123">
      <c r="A123" s="5" t="n">
        <v>119</v>
      </c>
      <c r="B123" s="5" t="str">
        <f>IFERROR(MATCH(A123,Hesap!$Q$5:$Q$136,0),"")</f>
        <v/>
      </c>
      <c r="C123" s="6" t="str">
        <f>IF(B123="","",INDEX(Hesap!$B$5:$B$136,B123))</f>
        <v/>
      </c>
      <c r="D123" s="6" t="str">
        <f>IF(B123="","",INDEX(Hesap!$C$5:$C$136,B123))</f>
        <v/>
      </c>
      <c r="E123" s="7" t="str">
        <f>IF(B123="","",INDEX(Hesap!$N$5:$N$136,B123))</f>
        <v/>
      </c>
      <c r="F123" s="7" t="str">
        <f>IF(B123="","",INDEX(Hesap!$D$5:$D$136,B123))</f>
        <v/>
      </c>
      <c r="G123" s="8" t="str">
        <f>IF(B123="","",INDEX(Hesap!$E$5:$E$136,B123))</f>
        <v/>
      </c>
      <c r="H123" s="8" t="str">
        <f>IF(B123="","",INDEX(Hesap!$G$5:$G$136,B123))</f>
        <v/>
      </c>
      <c r="I123" s="9" t="str">
        <f>IF(B123="","",INDEX(Hesap!$H$5:$H$136,B123))</f>
        <v/>
      </c>
      <c r="J123" s="8" t="str">
        <f>IF(B123="","",INDEX(Hesap!$I$5:$I$136,B123))</f>
        <v/>
      </c>
      <c r="K123" s="10" t="str">
        <f>IF(B123="","",INDEX(Hesap!$J$5:$J$136,B123))</f>
        <v/>
      </c>
      <c r="L123" s="10" t="str">
        <f>IF(B123="","",INDEX(Finans!$AG$5:$AG$136,B123))</f>
        <v/>
      </c>
      <c r="M123" s="5" t="str">
        <f>IF(B123="","",INDEX(Finans!$K$5:$K$136,B123))</f>
        <v/>
      </c>
      <c r="N123" s="5" t="str">
        <f>IF(B123="","",INDEX(Hesap!$T$5:$T$136,B123))</f>
        <v/>
      </c>
      <c r="O123" s="6" t="str">
        <f>IF(B123="","",INDEX(Deneyler!$C$5:$C$136,B123))</f>
        <v/>
      </c>
    </row>
    <row r="124">
      <c r="A124" s="5" t="n">
        <v>120</v>
      </c>
      <c r="B124" s="5" t="str">
        <f>IFERROR(MATCH(A124,Hesap!$Q$5:$Q$136,0),"")</f>
        <v/>
      </c>
      <c r="C124" s="6" t="str">
        <f>IF(B124="","",INDEX(Hesap!$B$5:$B$136,B124))</f>
        <v/>
      </c>
      <c r="D124" s="6" t="str">
        <f>IF(B124="","",INDEX(Hesap!$C$5:$C$136,B124))</f>
        <v/>
      </c>
      <c r="E124" s="7" t="str">
        <f>IF(B124="","",INDEX(Hesap!$N$5:$N$136,B124))</f>
        <v/>
      </c>
      <c r="F124" s="7" t="str">
        <f>IF(B124="","",INDEX(Hesap!$D$5:$D$136,B124))</f>
        <v/>
      </c>
      <c r="G124" s="8" t="str">
        <f>IF(B124="","",INDEX(Hesap!$E$5:$E$136,B124))</f>
        <v/>
      </c>
      <c r="H124" s="8" t="str">
        <f>IF(B124="","",INDEX(Hesap!$G$5:$G$136,B124))</f>
        <v/>
      </c>
      <c r="I124" s="9" t="str">
        <f>IF(B124="","",INDEX(Hesap!$H$5:$H$136,B124))</f>
        <v/>
      </c>
      <c r="J124" s="8" t="str">
        <f>IF(B124="","",INDEX(Hesap!$I$5:$I$136,B124))</f>
        <v/>
      </c>
      <c r="K124" s="10" t="str">
        <f>IF(B124="","",INDEX(Hesap!$J$5:$J$136,B124))</f>
        <v/>
      </c>
      <c r="L124" s="10" t="str">
        <f>IF(B124="","",INDEX(Finans!$AG$5:$AG$136,B124))</f>
        <v/>
      </c>
      <c r="M124" s="5" t="str">
        <f>IF(B124="","",INDEX(Finans!$K$5:$K$136,B124))</f>
        <v/>
      </c>
      <c r="N124" s="5" t="str">
        <f>IF(B124="","",INDEX(Hesap!$T$5:$T$136,B124))</f>
        <v/>
      </c>
      <c r="O124" s="6" t="str">
        <f>IF(B124="","",INDEX(Deneyler!$C$5:$C$136,B124))</f>
        <v/>
      </c>
    </row>
    <row r="125">
      <c r="A125" s="5" t="n">
        <v>121</v>
      </c>
      <c r="B125" s="5" t="str">
        <f>IFERROR(MATCH(A125,Hesap!$Q$5:$Q$136,0),"")</f>
        <v/>
      </c>
      <c r="C125" s="6" t="str">
        <f>IF(B125="","",INDEX(Hesap!$B$5:$B$136,B125))</f>
        <v/>
      </c>
      <c r="D125" s="6" t="str">
        <f>IF(B125="","",INDEX(Hesap!$C$5:$C$136,B125))</f>
        <v/>
      </c>
      <c r="E125" s="7" t="str">
        <f>IF(B125="","",INDEX(Hesap!$N$5:$N$136,B125))</f>
        <v/>
      </c>
      <c r="F125" s="7" t="str">
        <f>IF(B125="","",INDEX(Hesap!$D$5:$D$136,B125))</f>
        <v/>
      </c>
      <c r="G125" s="8" t="str">
        <f>IF(B125="","",INDEX(Hesap!$E$5:$E$136,B125))</f>
        <v/>
      </c>
      <c r="H125" s="8" t="str">
        <f>IF(B125="","",INDEX(Hesap!$G$5:$G$136,B125))</f>
        <v/>
      </c>
      <c r="I125" s="9" t="str">
        <f>IF(B125="","",INDEX(Hesap!$H$5:$H$136,B125))</f>
        <v/>
      </c>
      <c r="J125" s="8" t="str">
        <f>IF(B125="","",INDEX(Hesap!$I$5:$I$136,B125))</f>
        <v/>
      </c>
      <c r="K125" s="10" t="str">
        <f>IF(B125="","",INDEX(Hesap!$J$5:$J$136,B125))</f>
        <v/>
      </c>
      <c r="L125" s="10" t="str">
        <f>IF(B125="","",INDEX(Finans!$AG$5:$AG$136,B125))</f>
        <v/>
      </c>
      <c r="M125" s="5" t="str">
        <f>IF(B125="","",INDEX(Finans!$K$5:$K$136,B125))</f>
        <v/>
      </c>
      <c r="N125" s="5" t="str">
        <f>IF(B125="","",INDEX(Hesap!$T$5:$T$136,B125))</f>
        <v/>
      </c>
      <c r="O125" s="6" t="str">
        <f>IF(B125="","",INDEX(Deneyler!$C$5:$C$136,B125))</f>
        <v/>
      </c>
    </row>
    <row r="126">
      <c r="A126" s="5" t="n">
        <v>122</v>
      </c>
      <c r="B126" s="5" t="str">
        <f>IFERROR(MATCH(A126,Hesap!$Q$5:$Q$136,0),"")</f>
        <v/>
      </c>
      <c r="C126" s="6" t="str">
        <f>IF(B126="","",INDEX(Hesap!$B$5:$B$136,B126))</f>
        <v/>
      </c>
      <c r="D126" s="6" t="str">
        <f>IF(B126="","",INDEX(Hesap!$C$5:$C$136,B126))</f>
        <v/>
      </c>
      <c r="E126" s="7" t="str">
        <f>IF(B126="","",INDEX(Hesap!$N$5:$N$136,B126))</f>
        <v/>
      </c>
      <c r="F126" s="7" t="str">
        <f>IF(B126="","",INDEX(Hesap!$D$5:$D$136,B126))</f>
        <v/>
      </c>
      <c r="G126" s="8" t="str">
        <f>IF(B126="","",INDEX(Hesap!$E$5:$E$136,B126))</f>
        <v/>
      </c>
      <c r="H126" s="8" t="str">
        <f>IF(B126="","",INDEX(Hesap!$G$5:$G$136,B126))</f>
        <v/>
      </c>
      <c r="I126" s="9" t="str">
        <f>IF(B126="","",INDEX(Hesap!$H$5:$H$136,B126))</f>
        <v/>
      </c>
      <c r="J126" s="8" t="str">
        <f>IF(B126="","",INDEX(Hesap!$I$5:$I$136,B126))</f>
        <v/>
      </c>
      <c r="K126" s="10" t="str">
        <f>IF(B126="","",INDEX(Hesap!$J$5:$J$136,B126))</f>
        <v/>
      </c>
      <c r="L126" s="10" t="str">
        <f>IF(B126="","",INDEX(Finans!$AG$5:$AG$136,B126))</f>
        <v/>
      </c>
      <c r="M126" s="5" t="str">
        <f>IF(B126="","",INDEX(Finans!$K$5:$K$136,B126))</f>
        <v/>
      </c>
      <c r="N126" s="5" t="str">
        <f>IF(B126="","",INDEX(Hesap!$T$5:$T$136,B126))</f>
        <v/>
      </c>
      <c r="O126" s="6" t="str">
        <f>IF(B126="","",INDEX(Deneyler!$C$5:$C$136,B126))</f>
        <v/>
      </c>
    </row>
    <row r="127">
      <c r="A127" s="5" t="n">
        <v>123</v>
      </c>
      <c r="B127" s="5" t="str">
        <f>IFERROR(MATCH(A127,Hesap!$Q$5:$Q$136,0),"")</f>
        <v/>
      </c>
      <c r="C127" s="6" t="str">
        <f>IF(B127="","",INDEX(Hesap!$B$5:$B$136,B127))</f>
        <v/>
      </c>
      <c r="D127" s="6" t="str">
        <f>IF(B127="","",INDEX(Hesap!$C$5:$C$136,B127))</f>
        <v/>
      </c>
      <c r="E127" s="7" t="str">
        <f>IF(B127="","",INDEX(Hesap!$N$5:$N$136,B127))</f>
        <v/>
      </c>
      <c r="F127" s="7" t="str">
        <f>IF(B127="","",INDEX(Hesap!$D$5:$D$136,B127))</f>
        <v/>
      </c>
      <c r="G127" s="8" t="str">
        <f>IF(B127="","",INDEX(Hesap!$E$5:$E$136,B127))</f>
        <v/>
      </c>
      <c r="H127" s="8" t="str">
        <f>IF(B127="","",INDEX(Hesap!$G$5:$G$136,B127))</f>
        <v/>
      </c>
      <c r="I127" s="9" t="str">
        <f>IF(B127="","",INDEX(Hesap!$H$5:$H$136,B127))</f>
        <v/>
      </c>
      <c r="J127" s="8" t="str">
        <f>IF(B127="","",INDEX(Hesap!$I$5:$I$136,B127))</f>
        <v/>
      </c>
      <c r="K127" s="10" t="str">
        <f>IF(B127="","",INDEX(Hesap!$J$5:$J$136,B127))</f>
        <v/>
      </c>
      <c r="L127" s="10" t="str">
        <f>IF(B127="","",INDEX(Finans!$AG$5:$AG$136,B127))</f>
        <v/>
      </c>
      <c r="M127" s="5" t="str">
        <f>IF(B127="","",INDEX(Finans!$K$5:$K$136,B127))</f>
        <v/>
      </c>
      <c r="N127" s="5" t="str">
        <f>IF(B127="","",INDEX(Hesap!$T$5:$T$136,B127))</f>
        <v/>
      </c>
      <c r="O127" s="6" t="str">
        <f>IF(B127="","",INDEX(Deneyler!$C$5:$C$136,B127))</f>
        <v/>
      </c>
    </row>
    <row r="128">
      <c r="A128" s="5" t="n">
        <v>124</v>
      </c>
      <c r="B128" s="5" t="str">
        <f>IFERROR(MATCH(A128,Hesap!$Q$5:$Q$136,0),"")</f>
        <v/>
      </c>
      <c r="C128" s="6" t="str">
        <f>IF(B128="","",INDEX(Hesap!$B$5:$B$136,B128))</f>
        <v/>
      </c>
      <c r="D128" s="6" t="str">
        <f>IF(B128="","",INDEX(Hesap!$C$5:$C$136,B128))</f>
        <v/>
      </c>
      <c r="E128" s="7" t="str">
        <f>IF(B128="","",INDEX(Hesap!$N$5:$N$136,B128))</f>
        <v/>
      </c>
      <c r="F128" s="7" t="str">
        <f>IF(B128="","",INDEX(Hesap!$D$5:$D$136,B128))</f>
        <v/>
      </c>
      <c r="G128" s="8" t="str">
        <f>IF(B128="","",INDEX(Hesap!$E$5:$E$136,B128))</f>
        <v/>
      </c>
      <c r="H128" s="8" t="str">
        <f>IF(B128="","",INDEX(Hesap!$G$5:$G$136,B128))</f>
        <v/>
      </c>
      <c r="I128" s="9" t="str">
        <f>IF(B128="","",INDEX(Hesap!$H$5:$H$136,B128))</f>
        <v/>
      </c>
      <c r="J128" s="8" t="str">
        <f>IF(B128="","",INDEX(Hesap!$I$5:$I$136,B128))</f>
        <v/>
      </c>
      <c r="K128" s="10" t="str">
        <f>IF(B128="","",INDEX(Hesap!$J$5:$J$136,B128))</f>
        <v/>
      </c>
      <c r="L128" s="10" t="str">
        <f>IF(B128="","",INDEX(Finans!$AG$5:$AG$136,B128))</f>
        <v/>
      </c>
      <c r="M128" s="5" t="str">
        <f>IF(B128="","",INDEX(Finans!$K$5:$K$136,B128))</f>
        <v/>
      </c>
      <c r="N128" s="5" t="str">
        <f>IF(B128="","",INDEX(Hesap!$T$5:$T$136,B128))</f>
        <v/>
      </c>
      <c r="O128" s="6" t="str">
        <f>IF(B128="","",INDEX(Deneyler!$C$5:$C$136,B128))</f>
        <v/>
      </c>
    </row>
    <row r="129">
      <c r="A129" s="5" t="n">
        <v>125</v>
      </c>
      <c r="B129" s="5" t="str">
        <f>IFERROR(MATCH(A129,Hesap!$Q$5:$Q$136,0),"")</f>
        <v/>
      </c>
      <c r="C129" s="6" t="str">
        <f>IF(B129="","",INDEX(Hesap!$B$5:$B$136,B129))</f>
        <v/>
      </c>
      <c r="D129" s="6" t="str">
        <f>IF(B129="","",INDEX(Hesap!$C$5:$C$136,B129))</f>
        <v/>
      </c>
      <c r="E129" s="7" t="str">
        <f>IF(B129="","",INDEX(Hesap!$N$5:$N$136,B129))</f>
        <v/>
      </c>
      <c r="F129" s="7" t="str">
        <f>IF(B129="","",INDEX(Hesap!$D$5:$D$136,B129))</f>
        <v/>
      </c>
      <c r="G129" s="8" t="str">
        <f>IF(B129="","",INDEX(Hesap!$E$5:$E$136,B129))</f>
        <v/>
      </c>
      <c r="H129" s="8" t="str">
        <f>IF(B129="","",INDEX(Hesap!$G$5:$G$136,B129))</f>
        <v/>
      </c>
      <c r="I129" s="9" t="str">
        <f>IF(B129="","",INDEX(Hesap!$H$5:$H$136,B129))</f>
        <v/>
      </c>
      <c r="J129" s="8" t="str">
        <f>IF(B129="","",INDEX(Hesap!$I$5:$I$136,B129))</f>
        <v/>
      </c>
      <c r="K129" s="10" t="str">
        <f>IF(B129="","",INDEX(Hesap!$J$5:$J$136,B129))</f>
        <v/>
      </c>
      <c r="L129" s="10" t="str">
        <f>IF(B129="","",INDEX(Finans!$AG$5:$AG$136,B129))</f>
        <v/>
      </c>
      <c r="M129" s="5" t="str">
        <f>IF(B129="","",INDEX(Finans!$K$5:$K$136,B129))</f>
        <v/>
      </c>
      <c r="N129" s="5" t="str">
        <f>IF(B129="","",INDEX(Hesap!$T$5:$T$136,B129))</f>
        <v/>
      </c>
      <c r="O129" s="6" t="str">
        <f>IF(B129="","",INDEX(Deneyler!$C$5:$C$136,B129))</f>
        <v/>
      </c>
    </row>
    <row r="130">
      <c r="A130" s="5" t="n">
        <v>126</v>
      </c>
      <c r="B130" s="5" t="str">
        <f>IFERROR(MATCH(A130,Hesap!$Q$5:$Q$136,0),"")</f>
        <v/>
      </c>
      <c r="C130" s="6" t="str">
        <f>IF(B130="","",INDEX(Hesap!$B$5:$B$136,B130))</f>
        <v/>
      </c>
      <c r="D130" s="6" t="str">
        <f>IF(B130="","",INDEX(Hesap!$C$5:$C$136,B130))</f>
        <v/>
      </c>
      <c r="E130" s="7" t="str">
        <f>IF(B130="","",INDEX(Hesap!$N$5:$N$136,B130))</f>
        <v/>
      </c>
      <c r="F130" s="7" t="str">
        <f>IF(B130="","",INDEX(Hesap!$D$5:$D$136,B130))</f>
        <v/>
      </c>
      <c r="G130" s="8" t="str">
        <f>IF(B130="","",INDEX(Hesap!$E$5:$E$136,B130))</f>
        <v/>
      </c>
      <c r="H130" s="8" t="str">
        <f>IF(B130="","",INDEX(Hesap!$G$5:$G$136,B130))</f>
        <v/>
      </c>
      <c r="I130" s="9" t="str">
        <f>IF(B130="","",INDEX(Hesap!$H$5:$H$136,B130))</f>
        <v/>
      </c>
      <c r="J130" s="8" t="str">
        <f>IF(B130="","",INDEX(Hesap!$I$5:$I$136,B130))</f>
        <v/>
      </c>
      <c r="K130" s="10" t="str">
        <f>IF(B130="","",INDEX(Hesap!$J$5:$J$136,B130))</f>
        <v/>
      </c>
      <c r="L130" s="10" t="str">
        <f>IF(B130="","",INDEX(Finans!$AG$5:$AG$136,B130))</f>
        <v/>
      </c>
      <c r="M130" s="5" t="str">
        <f>IF(B130="","",INDEX(Finans!$K$5:$K$136,B130))</f>
        <v/>
      </c>
      <c r="N130" s="5" t="str">
        <f>IF(B130="","",INDEX(Hesap!$T$5:$T$136,B130))</f>
        <v/>
      </c>
      <c r="O130" s="6" t="str">
        <f>IF(B130="","",INDEX(Deneyler!$C$5:$C$136,B130))</f>
        <v/>
      </c>
    </row>
    <row r="131">
      <c r="A131" s="5" t="n">
        <v>127</v>
      </c>
      <c r="B131" s="5" t="str">
        <f>IFERROR(MATCH(A131,Hesap!$Q$5:$Q$136,0),"")</f>
        <v/>
      </c>
      <c r="C131" s="6" t="str">
        <f>IF(B131="","",INDEX(Hesap!$B$5:$B$136,B131))</f>
        <v/>
      </c>
      <c r="D131" s="6" t="str">
        <f>IF(B131="","",INDEX(Hesap!$C$5:$C$136,B131))</f>
        <v/>
      </c>
      <c r="E131" s="7" t="str">
        <f>IF(B131="","",INDEX(Hesap!$N$5:$N$136,B131))</f>
        <v/>
      </c>
      <c r="F131" s="7" t="str">
        <f>IF(B131="","",INDEX(Hesap!$D$5:$D$136,B131))</f>
        <v/>
      </c>
      <c r="G131" s="8" t="str">
        <f>IF(B131="","",INDEX(Hesap!$E$5:$E$136,B131))</f>
        <v/>
      </c>
      <c r="H131" s="8" t="str">
        <f>IF(B131="","",INDEX(Hesap!$G$5:$G$136,B131))</f>
        <v/>
      </c>
      <c r="I131" s="9" t="str">
        <f>IF(B131="","",INDEX(Hesap!$H$5:$H$136,B131))</f>
        <v/>
      </c>
      <c r="J131" s="8" t="str">
        <f>IF(B131="","",INDEX(Hesap!$I$5:$I$136,B131))</f>
        <v/>
      </c>
      <c r="K131" s="10" t="str">
        <f>IF(B131="","",INDEX(Hesap!$J$5:$J$136,B131))</f>
        <v/>
      </c>
      <c r="L131" s="10" t="str">
        <f>IF(B131="","",INDEX(Finans!$AG$5:$AG$136,B131))</f>
        <v/>
      </c>
      <c r="M131" s="5" t="str">
        <f>IF(B131="","",INDEX(Finans!$K$5:$K$136,B131))</f>
        <v/>
      </c>
      <c r="N131" s="5" t="str">
        <f>IF(B131="","",INDEX(Hesap!$T$5:$T$136,B131))</f>
        <v/>
      </c>
      <c r="O131" s="6" t="str">
        <f>IF(B131="","",INDEX(Deneyler!$C$5:$C$136,B131))</f>
        <v/>
      </c>
    </row>
    <row r="132">
      <c r="A132" s="5" t="n">
        <v>128</v>
      </c>
      <c r="B132" s="5" t="str">
        <f>IFERROR(MATCH(A132,Hesap!$Q$5:$Q$136,0),"")</f>
        <v/>
      </c>
      <c r="C132" s="6" t="str">
        <f>IF(B132="","",INDEX(Hesap!$B$5:$B$136,B132))</f>
        <v/>
      </c>
      <c r="D132" s="6" t="str">
        <f>IF(B132="","",INDEX(Hesap!$C$5:$C$136,B132))</f>
        <v/>
      </c>
      <c r="E132" s="7" t="str">
        <f>IF(B132="","",INDEX(Hesap!$N$5:$N$136,B132))</f>
        <v/>
      </c>
      <c r="F132" s="7" t="str">
        <f>IF(B132="","",INDEX(Hesap!$D$5:$D$136,B132))</f>
        <v/>
      </c>
      <c r="G132" s="8" t="str">
        <f>IF(B132="","",INDEX(Hesap!$E$5:$E$136,B132))</f>
        <v/>
      </c>
      <c r="H132" s="8" t="str">
        <f>IF(B132="","",INDEX(Hesap!$G$5:$G$136,B132))</f>
        <v/>
      </c>
      <c r="I132" s="9" t="str">
        <f>IF(B132="","",INDEX(Hesap!$H$5:$H$136,B132))</f>
        <v/>
      </c>
      <c r="J132" s="8" t="str">
        <f>IF(B132="","",INDEX(Hesap!$I$5:$I$136,B132))</f>
        <v/>
      </c>
      <c r="K132" s="10" t="str">
        <f>IF(B132="","",INDEX(Hesap!$J$5:$J$136,B132))</f>
        <v/>
      </c>
      <c r="L132" s="10" t="str">
        <f>IF(B132="","",INDEX(Finans!$AG$5:$AG$136,B132))</f>
        <v/>
      </c>
      <c r="M132" s="5" t="str">
        <f>IF(B132="","",INDEX(Finans!$K$5:$K$136,B132))</f>
        <v/>
      </c>
      <c r="N132" s="5" t="str">
        <f>IF(B132="","",INDEX(Hesap!$T$5:$T$136,B132))</f>
        <v/>
      </c>
      <c r="O132" s="6" t="str">
        <f>IF(B132="","",INDEX(Deneyler!$C$5:$C$136,B132))</f>
        <v/>
      </c>
    </row>
    <row r="133">
      <c r="A133" s="5" t="n">
        <v>129</v>
      </c>
      <c r="B133" s="5" t="str">
        <f>IFERROR(MATCH(A133,Hesap!$Q$5:$Q$136,0),"")</f>
        <v/>
      </c>
      <c r="C133" s="6" t="str">
        <f>IF(B133="","",INDEX(Hesap!$B$5:$B$136,B133))</f>
        <v/>
      </c>
      <c r="D133" s="6" t="str">
        <f>IF(B133="","",INDEX(Hesap!$C$5:$C$136,B133))</f>
        <v/>
      </c>
      <c r="E133" s="7" t="str">
        <f>IF(B133="","",INDEX(Hesap!$N$5:$N$136,B133))</f>
        <v/>
      </c>
      <c r="F133" s="7" t="str">
        <f>IF(B133="","",INDEX(Hesap!$D$5:$D$136,B133))</f>
        <v/>
      </c>
      <c r="G133" s="8" t="str">
        <f>IF(B133="","",INDEX(Hesap!$E$5:$E$136,B133))</f>
        <v/>
      </c>
      <c r="H133" s="8" t="str">
        <f>IF(B133="","",INDEX(Hesap!$G$5:$G$136,B133))</f>
        <v/>
      </c>
      <c r="I133" s="9" t="str">
        <f>IF(B133="","",INDEX(Hesap!$H$5:$H$136,B133))</f>
        <v/>
      </c>
      <c r="J133" s="8" t="str">
        <f>IF(B133="","",INDEX(Hesap!$I$5:$I$136,B133))</f>
        <v/>
      </c>
      <c r="K133" s="10" t="str">
        <f>IF(B133="","",INDEX(Hesap!$J$5:$J$136,B133))</f>
        <v/>
      </c>
      <c r="L133" s="10" t="str">
        <f>IF(B133="","",INDEX(Finans!$AG$5:$AG$136,B133))</f>
        <v/>
      </c>
      <c r="M133" s="5" t="str">
        <f>IF(B133="","",INDEX(Finans!$K$5:$K$136,B133))</f>
        <v/>
      </c>
      <c r="N133" s="5" t="str">
        <f>IF(B133="","",INDEX(Hesap!$T$5:$T$136,B133))</f>
        <v/>
      </c>
      <c r="O133" s="6" t="str">
        <f>IF(B133="","",INDEX(Deneyler!$C$5:$C$136,B133))</f>
        <v/>
      </c>
    </row>
    <row r="134">
      <c r="A134" s="5" t="n">
        <v>130</v>
      </c>
      <c r="B134" s="5" t="str">
        <f>IFERROR(MATCH(A134,Hesap!$Q$5:$Q$136,0),"")</f>
        <v/>
      </c>
      <c r="C134" s="6" t="str">
        <f>IF(B134="","",INDEX(Hesap!$B$5:$B$136,B134))</f>
        <v/>
      </c>
      <c r="D134" s="6" t="str">
        <f>IF(B134="","",INDEX(Hesap!$C$5:$C$136,B134))</f>
        <v/>
      </c>
      <c r="E134" s="7" t="str">
        <f>IF(B134="","",INDEX(Hesap!$N$5:$N$136,B134))</f>
        <v/>
      </c>
      <c r="F134" s="7" t="str">
        <f>IF(B134="","",INDEX(Hesap!$D$5:$D$136,B134))</f>
        <v/>
      </c>
      <c r="G134" s="8" t="str">
        <f>IF(B134="","",INDEX(Hesap!$E$5:$E$136,B134))</f>
        <v/>
      </c>
      <c r="H134" s="8" t="str">
        <f>IF(B134="","",INDEX(Hesap!$G$5:$G$136,B134))</f>
        <v/>
      </c>
      <c r="I134" s="9" t="str">
        <f>IF(B134="","",INDEX(Hesap!$H$5:$H$136,B134))</f>
        <v/>
      </c>
      <c r="J134" s="8" t="str">
        <f>IF(B134="","",INDEX(Hesap!$I$5:$I$136,B134))</f>
        <v/>
      </c>
      <c r="K134" s="10" t="str">
        <f>IF(B134="","",INDEX(Hesap!$J$5:$J$136,B134))</f>
        <v/>
      </c>
      <c r="L134" s="10" t="str">
        <f>IF(B134="","",INDEX(Finans!$AG$5:$AG$136,B134))</f>
        <v/>
      </c>
      <c r="M134" s="5" t="str">
        <f>IF(B134="","",INDEX(Finans!$K$5:$K$136,B134))</f>
        <v/>
      </c>
      <c r="N134" s="5" t="str">
        <f>IF(B134="","",INDEX(Hesap!$T$5:$T$136,B134))</f>
        <v/>
      </c>
      <c r="O134" s="6" t="str">
        <f>IF(B134="","",INDEX(Deneyler!$C$5:$C$136,B134))</f>
        <v/>
      </c>
    </row>
    <row r="135">
      <c r="A135" s="5" t="n">
        <v>131</v>
      </c>
      <c r="B135" s="5" t="str">
        <f>IFERROR(MATCH(A135,Hesap!$Q$5:$Q$136,0),"")</f>
        <v/>
      </c>
      <c r="C135" s="6" t="str">
        <f>IF(B135="","",INDEX(Hesap!$B$5:$B$136,B135))</f>
        <v/>
      </c>
      <c r="D135" s="6" t="str">
        <f>IF(B135="","",INDEX(Hesap!$C$5:$C$136,B135))</f>
        <v/>
      </c>
      <c r="E135" s="7" t="str">
        <f>IF(B135="","",INDEX(Hesap!$N$5:$N$136,B135))</f>
        <v/>
      </c>
      <c r="F135" s="7" t="str">
        <f>IF(B135="","",INDEX(Hesap!$D$5:$D$136,B135))</f>
        <v/>
      </c>
      <c r="G135" s="8" t="str">
        <f>IF(B135="","",INDEX(Hesap!$E$5:$E$136,B135))</f>
        <v/>
      </c>
      <c r="H135" s="8" t="str">
        <f>IF(B135="","",INDEX(Hesap!$G$5:$G$136,B135))</f>
        <v/>
      </c>
      <c r="I135" s="9" t="str">
        <f>IF(B135="","",INDEX(Hesap!$H$5:$H$136,B135))</f>
        <v/>
      </c>
      <c r="J135" s="8" t="str">
        <f>IF(B135="","",INDEX(Hesap!$I$5:$I$136,B135))</f>
        <v/>
      </c>
      <c r="K135" s="10" t="str">
        <f>IF(B135="","",INDEX(Hesap!$J$5:$J$136,B135))</f>
        <v/>
      </c>
      <c r="L135" s="10" t="str">
        <f>IF(B135="","",INDEX(Finans!$AG$5:$AG$136,B135))</f>
        <v/>
      </c>
      <c r="M135" s="5" t="str">
        <f>IF(B135="","",INDEX(Finans!$K$5:$K$136,B135))</f>
        <v/>
      </c>
      <c r="N135" s="5" t="str">
        <f>IF(B135="","",INDEX(Hesap!$T$5:$T$136,B135))</f>
        <v/>
      </c>
      <c r="O135" s="6" t="str">
        <f>IF(B135="","",INDEX(Deneyler!$C$5:$C$136,B135))</f>
        <v/>
      </c>
    </row>
    <row r="136">
      <c r="A136" s="5" t="n">
        <v>132</v>
      </c>
      <c r="B136" s="5" t="str">
        <f>IFERROR(MATCH(A136,Hesap!$Q$5:$Q$136,0),"")</f>
        <v/>
      </c>
      <c r="C136" s="6" t="str">
        <f>IF(B136="","",INDEX(Hesap!$B$5:$B$136,B136))</f>
        <v/>
      </c>
      <c r="D136" s="6" t="str">
        <f>IF(B136="","",INDEX(Hesap!$C$5:$C$136,B136))</f>
        <v/>
      </c>
      <c r="E136" s="7" t="str">
        <f>IF(B136="","",INDEX(Hesap!$N$5:$N$136,B136))</f>
        <v/>
      </c>
      <c r="F136" s="7" t="str">
        <f>IF(B136="","",INDEX(Hesap!$D$5:$D$136,B136))</f>
        <v/>
      </c>
      <c r="G136" s="8" t="str">
        <f>IF(B136="","",INDEX(Hesap!$E$5:$E$136,B136))</f>
        <v/>
      </c>
      <c r="H136" s="8" t="str">
        <f>IF(B136="","",INDEX(Hesap!$G$5:$G$136,B136))</f>
        <v/>
      </c>
      <c r="I136" s="9" t="str">
        <f>IF(B136="","",INDEX(Hesap!$H$5:$H$136,B136))</f>
        <v/>
      </c>
      <c r="J136" s="8" t="str">
        <f>IF(B136="","",INDEX(Hesap!$I$5:$I$136,B136))</f>
        <v/>
      </c>
      <c r="K136" s="10" t="str">
        <f>IF(B136="","",INDEX(Hesap!$J$5:$J$136,B136))</f>
        <v/>
      </c>
      <c r="L136" s="10" t="str">
        <f>IF(B136="","",INDEX(Finans!$AG$5:$AG$136,B136))</f>
        <v/>
      </c>
      <c r="M136" s="5" t="str">
        <f>IF(B136="","",INDEX(Finans!$K$5:$K$136,B136))</f>
        <v/>
      </c>
      <c r="N136" s="5" t="str">
        <f>IF(B136="","",INDEX(Hesap!$T$5:$T$136,B136))</f>
        <v/>
      </c>
      <c r="O136" s="6" t="str">
        <f>IF(B136="","",INDEX(Deneyler!$C$5:$C$136,B136))</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 customWidth="1" min="1" max="1"/>
    <col width="38" customWidth="1" min="2" max="2"/>
    <col width="16" customWidth="1" min="3" max="3"/>
    <col width="60" customWidth="1" min="4" max="4"/>
  </cols>
  <sheetData>
    <row r="1">
      <c r="A1" s="1" t="inlineStr">
        <is>
          <t>Hedef ve kısıtlar</t>
        </is>
      </c>
    </row>
    <row r="2">
      <c r="A2" s="3" t="inlineStr">
        <is>
          <t>Tüm değerler başlangıç varsayımıdır; çalışma kitabının Hedef sayfasından değiştirilir. Eşik saat ücreti, kurucunun yazılı teklifindeki günlük 4.000 ₺ danışmanlık ücretinin sekiz saate bölünmüş halidir.</t>
        </is>
      </c>
    </row>
    <row r="3">
      <c r="B3" s="7" t="inlineStr">
        <is>
          <t>Hedef (USD)</t>
        </is>
      </c>
      <c r="C3" s="11" t="n">
        <v>3000</v>
      </c>
      <c r="D3" s="3" t="inlineStr">
        <is>
          <t>Altı ayda tahsil edilmiş net nakit hedefi</t>
        </is>
      </c>
    </row>
    <row r="4">
      <c r="B4" s="7" t="inlineStr">
        <is>
          <t>Kur (₺ / USD)</t>
        </is>
      </c>
      <c r="C4" s="11" t="n">
        <v>48</v>
      </c>
      <c r="D4" s="3" t="inlineStr">
        <is>
          <t>Varsayım</t>
        </is>
      </c>
    </row>
    <row r="5">
      <c r="B5" s="7" t="inlineStr">
        <is>
          <t>Hedef (₺)</t>
        </is>
      </c>
      <c r="C5" s="10">
        <f>C3*C4</f>
        <v>144000</v>
      </c>
      <c r="D5" s="3" t="inlineStr">
        <is>
          <t>Formül</t>
        </is>
      </c>
    </row>
    <row r="6">
      <c r="B6" s="7" t="inlineStr">
        <is>
          <t>Süre (ay)</t>
        </is>
      </c>
      <c r="C6" s="11" t="n">
        <v>6</v>
      </c>
      <c r="D6" s="3" t="inlineStr">
        <is>
          <t>Finans girdileri altı aya göre yazıldı; değiştirirseniz girdileri de güncelleyin</t>
        </is>
      </c>
    </row>
    <row r="7">
      <c r="B7" s="7" t="inlineStr">
        <is>
          <t>Haftalık kurucu saati</t>
        </is>
      </c>
      <c r="C7" s="11" t="n">
        <v>20</v>
      </c>
      <c r="D7" s="3" t="inlineStr">
        <is>
          <t>C2 kriterinin hesabında kullanılır</t>
        </is>
      </c>
    </row>
    <row r="8">
      <c r="B8" s="7" t="inlineStr">
        <is>
          <t>Eşik saat ücreti (₺)</t>
        </is>
      </c>
      <c r="C8" s="11" t="n">
        <v>500</v>
      </c>
      <c r="D8" s="3" t="inlineStr">
        <is>
          <t>Aynı saatte danışmanlık yapmanın getirisi</t>
        </is>
      </c>
    </row>
    <row r="9">
      <c r="B9" s="7" t="inlineStr">
        <is>
          <t>Riske edilen nakit tavanı (₺)</t>
        </is>
      </c>
      <c r="C9" s="11" t="n">
        <v>50000</v>
      </c>
      <c r="D9" s="3" t="inlineStr">
        <is>
          <t>G7 kapısı için</t>
        </is>
      </c>
    </row>
    <row r="10">
      <c r="B10" s="7" t="inlineStr">
        <is>
          <t>Uygunluk alt puanı</t>
        </is>
      </c>
      <c r="C10" s="11" t="n">
        <v>45</v>
      </c>
      <c r="D10" s="3" t="inlineStr">
        <is>
          <t>Karar kuralı</t>
        </is>
      </c>
    </row>
    <row r="11">
      <c r="B11" s="7" t="inlineStr">
        <is>
          <t>Nakit alt oranı</t>
        </is>
      </c>
      <c r="C11" s="12" t="n">
        <v>0.5</v>
      </c>
      <c r="D11" s="3" t="inlineStr">
        <is>
          <t>Baz senaryo net nakdi hedefin bu oranına ulaşmalı</t>
        </is>
      </c>
    </row>
    <row r="12">
      <c r="B12" s="7" t="inlineStr">
        <is>
          <t>Stratejik bekletme puanı</t>
        </is>
      </c>
      <c r="C12" s="11" t="n">
        <v>60</v>
      </c>
      <c r="D12" s="3" t="inlineStr">
        <is>
          <t>Karar kuralı</t>
        </is>
      </c>
    </row>
    <row r="13">
      <c r="B13" s="7" t="inlineStr">
        <is>
          <t>Yatırım için ödeme kanıtı kodu</t>
        </is>
      </c>
      <c r="C13" s="11" t="n">
        <v>3</v>
      </c>
      <c r="D13" s="3" t="inlineStr">
        <is>
          <t>A6 kanıt kodu en az bu olmalı</t>
        </is>
      </c>
    </row>
    <row r="14">
      <c r="B14" s="7" t="inlineStr">
        <is>
          <t>Altı aylık kurucu kapasitesi (saat)</t>
        </is>
      </c>
      <c r="C14" s="10">
        <f>C7*C6*52/12</f>
        <v>520</v>
      </c>
      <c r="D14" s="3" t="inlineStr">
        <is>
          <t>Formül: haftalık saat × ay × 52/12. Baz senaryoda bunu aşan seçenek nakit koşulunu sağlamış sayılmaz</t>
        </is>
      </c>
    </row>
    <row r="16">
      <c r="A16" s="4" t="inlineStr"/>
      <c r="B16" s="4" t="inlineStr">
        <is>
          <t>Kanıt kodu</t>
        </is>
      </c>
      <c r="C16" s="4" t="inlineStr">
        <is>
          <t>Güven katsayısı</t>
        </is>
      </c>
      <c r="D16" s="4" t="inlineStr">
        <is>
          <t>Anlam</t>
        </is>
      </c>
    </row>
    <row r="17">
      <c r="B17" s="7" t="inlineStr">
        <is>
          <t>E0</t>
        </is>
      </c>
      <c r="C17" s="13" t="n">
        <v>0.3</v>
      </c>
      <c r="D17" s="7" t="inlineStr">
        <is>
          <t>Yalnız varsayım ya da kurucu görüşü</t>
        </is>
      </c>
    </row>
    <row r="18">
      <c r="B18" s="7" t="inlineStr">
        <is>
          <t>E1</t>
        </is>
      </c>
      <c r="C18" s="13" t="n">
        <v>0.5</v>
      </c>
      <c r="D18" s="7" t="inlineStr">
        <is>
          <t>Dış kaynak, masa başı araştırma ya da alıcı beyanı</t>
        </is>
      </c>
    </row>
    <row r="19">
      <c r="B19" s="7" t="inlineStr">
        <is>
          <t>E2</t>
        </is>
      </c>
      <c r="C19" s="13" t="n">
        <v>0.7</v>
      </c>
      <c r="D19" s="7" t="inlineStr">
        <is>
          <t>Gerçek davranış sinyali: kayıt, kullanım, demo talebi, yazılı niyet</t>
        </is>
      </c>
    </row>
    <row r="20">
      <c r="B20" s="7" t="inlineStr">
        <is>
          <t>E3</t>
        </is>
      </c>
      <c r="C20" s="13" t="n">
        <v>0.9</v>
      </c>
      <c r="D20" s="7" t="inlineStr">
        <is>
          <t>Parasal davranış: ödeme, ön ödeme, ücretli pilot, imzalı sözleşme</t>
        </is>
      </c>
    </row>
    <row r="21">
      <c r="B21" s="7" t="inlineStr">
        <is>
          <t>E4</t>
        </is>
      </c>
      <c r="C21" s="13" t="n">
        <v>1</v>
      </c>
      <c r="D21" s="7" t="inlineStr">
        <is>
          <t>Birbirinden bağımsız birden çok müşteride tekrarlanan ödeme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L47"/>
  <sheetViews>
    <sheetView workbookViewId="0">
      <pane xSplit="3" ySplit="13" topLeftCell="D14" activePane="bottomRight" state="frozen"/>
      <selection pane="topRight"/>
      <selection pane="bottomLeft"/>
      <selection pane="bottomRight" activeCell="A1" sqref="A1"/>
    </sheetView>
  </sheetViews>
  <sheetFormatPr baseColWidth="8" defaultRowHeight="15"/>
  <cols>
    <col width="3" customWidth="1" min="1" max="1"/>
    <col width="8" customWidth="1" min="2" max="2"/>
    <col width="34" customWidth="1" min="3" max="3"/>
    <col width="14" customWidth="1" min="4" max="4"/>
    <col width="14" customWidth="1" min="5" max="5"/>
    <col width="14" customWidth="1" min="6" max="6"/>
    <col width="9" customWidth="1" min="7" max="7"/>
    <col width="52" customWidth="1" min="8" max="8"/>
    <col width="42" customWidth="1" min="9" max="9"/>
    <col width="42" customWidth="1" min="10" max="10"/>
    <col width="42" customWidth="1" min="11" max="11"/>
    <col width="30" customWidth="1" min="12" max="12"/>
  </cols>
  <sheetData>
    <row r="1">
      <c r="A1" s="1" t="inlineStr">
        <is>
          <t>Kategoriler ve kriterler</t>
        </is>
      </c>
    </row>
    <row r="2">
      <c r="A2" s="3" t="inlineStr">
        <is>
          <t>Kategori ağırlıklarını seçeneklere bakmadan belirleyin. Toplam 100 olmalı.</t>
        </is>
      </c>
    </row>
    <row r="3">
      <c r="A3" s="4" t="inlineStr"/>
      <c r="B3" s="4" t="inlineStr">
        <is>
          <t>Kategori</t>
        </is>
      </c>
      <c r="C3" s="4" t="inlineStr">
        <is>
          <t>Ad</t>
        </is>
      </c>
      <c r="D3" s="4" t="inlineStr">
        <is>
          <t>Ağırlık</t>
        </is>
      </c>
    </row>
    <row r="4">
      <c r="B4" s="14" t="inlineStr">
        <is>
          <t>A</t>
        </is>
      </c>
      <c r="C4" s="7" t="inlineStr">
        <is>
          <t>Talep ve ödeme gerekçesi</t>
        </is>
      </c>
      <c r="D4" s="11" t="n">
        <v>25</v>
      </c>
    </row>
    <row r="5">
      <c r="B5" s="14" t="inlineStr">
        <is>
          <t>B</t>
        </is>
      </c>
      <c r="C5" s="7" t="inlineStr">
        <is>
          <t>Reklamsız erişim ve dağıtım</t>
        </is>
      </c>
      <c r="D5" s="11" t="n">
        <v>30</v>
      </c>
    </row>
    <row r="6">
      <c r="B6" s="14" t="inlineStr">
        <is>
          <t>C</t>
        </is>
      </c>
      <c r="C6" s="7" t="inlineStr">
        <is>
          <t>Nakde hız ve satın alma kolaylığı</t>
        </is>
      </c>
      <c r="D6" s="11" t="n">
        <v>22</v>
      </c>
    </row>
    <row r="7">
      <c r="B7" s="14" t="inlineStr">
        <is>
          <t>D</t>
        </is>
      </c>
      <c r="C7" s="7" t="inlineStr">
        <is>
          <t>Gelir yoğunluğu ve devamlılık</t>
        </is>
      </c>
      <c r="D7" s="11" t="n">
        <v>8</v>
      </c>
    </row>
    <row r="8">
      <c r="B8" s="14" t="inlineStr">
        <is>
          <t>E</t>
        </is>
      </c>
      <c r="C8" s="7" t="inlineStr">
        <is>
          <t>Kurucu avantajı ve fark</t>
        </is>
      </c>
      <c r="D8" s="11" t="n">
        <v>7</v>
      </c>
    </row>
    <row r="9">
      <c r="B9" s="14" t="inlineStr">
        <is>
          <t>F</t>
        </is>
      </c>
      <c r="C9" s="7" t="inlineStr">
        <is>
          <t>Operasyon yükü ve risk</t>
        </is>
      </c>
      <c r="D9" s="11" t="n">
        <v>8</v>
      </c>
    </row>
    <row r="10">
      <c r="C10" s="14" t="inlineStr">
        <is>
          <t>Toplam</t>
        </is>
      </c>
      <c r="D10" s="10">
        <f>SUM(D4:D9)</f>
        <v>100</v>
      </c>
      <c r="E10" s="7" t="str">
        <f>IF(ROUND(D10,6)=100,"tamam","toplam 100 olmalı")</f>
        <v>tamam</v>
      </c>
    </row>
    <row r="13">
      <c r="A13" s="4" t="inlineStr"/>
      <c r="B13" s="4" t="inlineStr">
        <is>
          <t>ID</t>
        </is>
      </c>
      <c r="C13" s="4" t="inlineStr">
        <is>
          <t>Ad</t>
        </is>
      </c>
      <c r="D13" s="4" t="inlineStr">
        <is>
          <t>Kategori</t>
        </is>
      </c>
      <c r="E13" s="4" t="inlineStr">
        <is>
          <t>Kategori içi ağırlık</t>
        </is>
      </c>
      <c r="F13" s="4" t="inlineStr">
        <is>
          <t>Toplamdaki ağırlık</t>
        </is>
      </c>
      <c r="G13" s="4" t="inlineStr">
        <is>
          <t>Yön</t>
        </is>
      </c>
      <c r="H13" s="4" t="inlineStr">
        <is>
          <t>Soru</t>
        </is>
      </c>
      <c r="I13" s="4" t="inlineStr">
        <is>
          <t>1 puan</t>
        </is>
      </c>
      <c r="J13" s="4" t="inlineStr">
        <is>
          <t>3 puan</t>
        </is>
      </c>
      <c r="K13" s="4" t="inlineStr">
        <is>
          <t>5 puan</t>
        </is>
      </c>
      <c r="L13" s="4" t="inlineStr">
        <is>
          <t>Kanıt türü</t>
        </is>
      </c>
    </row>
    <row r="14">
      <c r="B14" s="14" t="inlineStr">
        <is>
          <t>A1</t>
        </is>
      </c>
      <c r="C14" s="6" t="inlineStr">
        <is>
          <t>Sorunun şiddeti</t>
        </is>
      </c>
      <c r="D14" s="7" t="inlineStr">
        <is>
          <t>A</t>
        </is>
      </c>
      <c r="E14" s="13" t="n">
        <v>5</v>
      </c>
      <c r="F14" s="9">
        <f>INDEX($D$4:$D$9,MATCH(D14,$B$4:$B$9,0))*E14/SUMIF($D$14:$D$39,D14,$E$14:$E$39)</f>
        <v>5</v>
      </c>
      <c r="G14" s="7" t="inlineStr">
        <is>
          <t>fayda</t>
        </is>
      </c>
      <c r="H14" s="6" t="inlineStr">
        <is>
          <t>Sorun alıcıya bugün ne kaybettiriyor: para, ceza, iş gücü, gecikme?</t>
        </is>
      </c>
      <c r="I14" s="6" t="inlineStr">
        <is>
          <t>Olsa iyi olur düzeyinde; kayıp gösterilemiyor.</t>
        </is>
      </c>
      <c r="J14" s="6" t="inlineStr">
        <is>
          <t>Düzenli zaman ya da para kaybı var ama iş durmuyor.</t>
        </is>
      </c>
      <c r="K14" s="6" t="inlineStr">
        <is>
          <t>Ceza, gelir kaybı ya da işin durması söz konusu; kayıp rakamla gösterilebiliyor.</t>
        </is>
      </c>
      <c r="L14" s="6" t="inlineStr">
        <is>
          <t>Kayıp hesabı, mevzuat metni, alıcı belgesi</t>
        </is>
      </c>
    </row>
    <row r="15">
      <c r="B15" s="14" t="inlineStr">
        <is>
          <t>A2</t>
        </is>
      </c>
      <c r="C15" s="6" t="inlineStr">
        <is>
          <t>Satın alma tetikleyicisi ve aciliyet</t>
        </is>
      </c>
      <c r="D15" s="7" t="inlineStr">
        <is>
          <t>A</t>
        </is>
      </c>
      <c r="E15" s="13" t="n">
        <v>5</v>
      </c>
      <c r="F15" s="9">
        <f>INDEX($D$4:$D$9,MATCH(D15,$B$4:$B$9,0))*E15/SUMIF($D$14:$D$39,D15,$E$14:$E$39)</f>
        <v>5</v>
      </c>
      <c r="G15" s="7" t="inlineStr">
        <is>
          <t>fayda</t>
        </is>
      </c>
      <c r="H15" s="6" t="inlineStr">
        <is>
          <t>Alıcıya şimdi almak zorundayım dedirten olay ne?</t>
        </is>
      </c>
      <c r="I15" s="6" t="inlineStr">
        <is>
          <t>Tetikleyici yok; bir gün kullanırım.</t>
        </is>
      </c>
      <c r="J15" s="6" t="inlineStr">
        <is>
          <t>Tekrarlayan bir olay var ama ertelenebiliyor.</t>
        </is>
      </c>
      <c r="K15" s="6" t="inlineStr">
        <is>
          <t>Tarihi belli zorunluluk (mevzuat, denetim, son tarih) ya da her ay tekrarlayan zorunlu iş.</t>
        </is>
      </c>
      <c r="L15" s="6" t="inlineStr">
        <is>
          <t>Tarihli olay, takvim, mevzuat</t>
        </is>
      </c>
    </row>
    <row r="16">
      <c r="B16" s="14" t="inlineStr">
        <is>
          <t>A3</t>
        </is>
      </c>
      <c r="C16" s="6" t="inlineStr">
        <is>
          <t>Farkındalık ve çözüm arama</t>
        </is>
      </c>
      <c r="D16" s="7" t="inlineStr">
        <is>
          <t>A</t>
        </is>
      </c>
      <c r="E16" s="13" t="n">
        <v>3</v>
      </c>
      <c r="F16" s="9">
        <f>INDEX($D$4:$D$9,MATCH(D16,$B$4:$B$9,0))*E16/SUMIF($D$14:$D$39,D16,$E$14:$E$39)</f>
        <v>3</v>
      </c>
      <c r="G16" s="7" t="inlineStr">
        <is>
          <t>fayda</t>
        </is>
      </c>
      <c r="H16" s="6" t="inlineStr">
        <is>
          <t>Alıcı sorunu zaten biliyor ve çözüm arıyor mu?</t>
        </is>
      </c>
      <c r="I16" s="6" t="inlineStr">
        <is>
          <t>Önce sorunun varlığını öğretmek gerekiyor.</t>
        </is>
      </c>
      <c r="J16" s="6" t="inlineStr">
        <is>
          <t>Sorunu biliyor ama etkin biçimde aramıyor.</t>
        </is>
      </c>
      <c r="K16" s="6" t="inlineStr">
        <is>
          <t>Bugün çözüm arıyor: arama yapıyor, teklif alıyor ya da rakip kullanıyor.</t>
        </is>
      </c>
      <c r="L16" s="6" t="inlineStr">
        <is>
          <t>Arama verisi, rakip kullanımı, teklif talebi</t>
        </is>
      </c>
    </row>
    <row r="17">
      <c r="B17" s="14" t="inlineStr">
        <is>
          <t>A4</t>
        </is>
      </c>
      <c r="C17" s="6" t="inlineStr">
        <is>
          <t>Bugünkü ücretli ya da elle geçici çözüm</t>
        </is>
      </c>
      <c r="D17" s="7" t="inlineStr">
        <is>
          <t>A</t>
        </is>
      </c>
      <c r="E17" s="13" t="n">
        <v>3</v>
      </c>
      <c r="F17" s="9">
        <f>INDEX($D$4:$D$9,MATCH(D17,$B$4:$B$9,0))*E17/SUMIF($D$14:$D$39,D17,$E$14:$E$39)</f>
        <v>3</v>
      </c>
      <c r="G17" s="7" t="inlineStr">
        <is>
          <t>fayda</t>
        </is>
      </c>
      <c r="H17" s="6" t="inlineStr">
        <is>
          <t>Alıcı bu iş için bugün para ya da emek harcıyor mu?</t>
        </is>
      </c>
      <c r="I17" s="6" t="inlineStr">
        <is>
          <t>Hiçbir şey yapmıyor; maliyeti yok.</t>
        </is>
      </c>
      <c r="J17" s="6" t="inlineStr">
        <is>
          <t>Excel ya da elle çözüyor; zaman harcıyor.</t>
        </is>
      </c>
      <c r="K17" s="6" t="inlineStr">
        <is>
          <t>Bu iş için bugün para ödüyor: danışman, yazılım ya da personel.</t>
        </is>
      </c>
      <c r="L17" s="6" t="inlineStr">
        <is>
          <t>Rakip fiyatı, danışmanlık ücreti, iş tanımı</t>
        </is>
      </c>
    </row>
    <row r="18">
      <c r="B18" s="14" t="inlineStr">
        <is>
          <t>A5</t>
        </is>
      </c>
      <c r="C18" s="6" t="inlineStr">
        <is>
          <t>Kullanıcı, alıcı ve bütçe sahibinin netliği</t>
        </is>
      </c>
      <c r="D18" s="7" t="inlineStr">
        <is>
          <t>A</t>
        </is>
      </c>
      <c r="E18" s="13" t="n">
        <v>3</v>
      </c>
      <c r="F18" s="9">
        <f>INDEX($D$4:$D$9,MATCH(D18,$B$4:$B$9,0))*E18/SUMIF($D$14:$D$39,D18,$E$14:$E$39)</f>
        <v>3</v>
      </c>
      <c r="G18" s="7" t="inlineStr">
        <is>
          <t>fayda</t>
        </is>
      </c>
      <c r="H18" s="6" t="inlineStr">
        <is>
          <t>Sorunu yaşayan kişi satın alma kararını kendisi verebiliyor mu?</t>
        </is>
      </c>
      <c r="I18" s="6" t="inlineStr">
        <is>
          <t>Kullanıcı, alıcı ve bütçe sahibi ayrı ve belirsiz.</t>
        </is>
      </c>
      <c r="J18" s="6" t="inlineStr">
        <is>
          <t>Alıcı belli ama onay zinciri var.</t>
        </is>
      </c>
      <c r="K18" s="6" t="inlineStr">
        <is>
          <t>Sorunu yaşayan kişi kendi kararı ve kartıyla satın alabiliyor.</t>
        </is>
      </c>
      <c r="L18" s="6" t="inlineStr">
        <is>
          <t>Karar süreci tanımı, persona</t>
        </is>
      </c>
    </row>
    <row r="19">
      <c r="B19" s="14" t="inlineStr">
        <is>
          <t>A6</t>
        </is>
      </c>
      <c r="C19" s="6" t="inlineStr">
        <is>
          <t>Ödeme isteği kanıtı</t>
        </is>
      </c>
      <c r="D19" s="7" t="inlineStr">
        <is>
          <t>A</t>
        </is>
      </c>
      <c r="E19" s="13" t="n">
        <v>6</v>
      </c>
      <c r="F19" s="9">
        <f>INDEX($D$4:$D$9,MATCH(D19,$B$4:$B$9,0))*E19/SUMIF($D$14:$D$39,D19,$E$14:$E$39)</f>
        <v>6</v>
      </c>
      <c r="G19" s="7" t="inlineStr">
        <is>
          <t>fayda</t>
        </is>
      </c>
      <c r="H19" s="6" t="inlineStr">
        <is>
          <t>Bu fiyata ödeme yapılacağını gösteren ne var?</t>
        </is>
      </c>
      <c r="I19" s="6" t="inlineStr">
        <is>
          <t>Yalnız kurucunun görüşü.</t>
        </is>
      </c>
      <c r="J19" s="6" t="inlineStr">
        <is>
          <t>Görüşmelerde fiyat konuşulmuş ya da alıcının benzer işe bugün ödeme yaptığı kaynakla gösterilmiş.</t>
        </is>
      </c>
      <c r="K19" s="6" t="inlineStr">
        <is>
          <t>Ön ödeme, imzalı pilot ya da ödeyen müşteri var.</t>
        </is>
      </c>
      <c r="L19" s="6" t="inlineStr">
        <is>
          <t>Ödeme kaydı, sözleşme, teklif yanıtı</t>
        </is>
      </c>
    </row>
    <row r="20">
      <c r="B20" s="14" t="inlineStr">
        <is>
          <t>B1</t>
        </is>
      </c>
      <c r="C20" s="6" t="inlineStr">
        <is>
          <t>İlk 20-50 alıcıya doğrudan erişim</t>
        </is>
      </c>
      <c r="D20" s="7" t="inlineStr">
        <is>
          <t>B</t>
        </is>
      </c>
      <c r="E20" s="13" t="n">
        <v>8</v>
      </c>
      <c r="F20" s="9">
        <f>INDEX($D$4:$D$9,MATCH(D20,$B$4:$B$9,0))*E20/SUMIF($D$14:$D$39,D20,$E$14:$E$39)</f>
        <v>8</v>
      </c>
      <c r="G20" s="7" t="inlineStr">
        <is>
          <t>fayda</t>
        </is>
      </c>
      <c r="H20" s="6" t="inlineStr">
        <is>
          <t>Kurucu ilk alıcıları ismen sayabiliyor ve onlara doğrudan ulaşabiliyor mu?</t>
        </is>
      </c>
      <c r="I20" s="6" t="inlineStr">
        <is>
          <t>İsim yok; soğuk liste.</t>
        </is>
      </c>
      <c r="J20" s="6" t="inlineStr">
        <is>
          <t>20 isim sayılabiliyor; yarısı ikinci derece bağlantı.</t>
        </is>
      </c>
      <c r="K20" s="6" t="inlineStr">
        <is>
          <t>20'den çok isim; çoğu doğrudan tanıdık ya da mevcut müşteri.</t>
        </is>
      </c>
      <c r="L20" s="6" t="inlineStr">
        <is>
          <t>İsim listesi, mevcut ilişki kaydı</t>
        </is>
      </c>
    </row>
    <row r="21">
      <c r="B21" s="14" t="inlineStr">
        <is>
          <t>B2</t>
        </is>
      </c>
      <c r="C21" s="6" t="inlineStr">
        <is>
          <t>Yüksek niyetli keşif</t>
        </is>
      </c>
      <c r="D21" s="7" t="inlineStr">
        <is>
          <t>B</t>
        </is>
      </c>
      <c r="E21" s="13" t="n">
        <v>5</v>
      </c>
      <c r="F21" s="9">
        <f>INDEX($D$4:$D$9,MATCH(D21,$B$4:$B$9,0))*E21/SUMIF($D$14:$D$39,D21,$E$14:$E$39)</f>
        <v>5</v>
      </c>
      <c r="G21" s="7" t="inlineStr">
        <is>
          <t>fayda</t>
        </is>
      </c>
      <c r="H21" s="6" t="inlineStr">
        <is>
          <t>Alıcı bu çözümü arama motorunda, bir pazar yerinde ya da dizinde kendisi arıyor mu?</t>
        </is>
      </c>
      <c r="I21" s="6" t="inlineStr">
        <is>
          <t>Alıcı bu işi aramıyor; pazar yeri yok.</t>
        </is>
      </c>
      <c r="J21" s="6" t="inlineStr">
        <is>
          <t>Arama niyeti var ama rekabet yoğun ya da hacim bilinmiyor.</t>
        </is>
      </c>
      <c r="K21" s="6" t="inlineStr">
        <is>
          <t>Alıcı sorunu adıyla arıyor ya da hazır bir pazar yerinde çözüm arıyor.</t>
        </is>
      </c>
      <c r="L21" s="6" t="inlineStr">
        <is>
          <t>Arama hacmi, pazar yeri kategorisi</t>
        </is>
      </c>
    </row>
    <row r="22">
      <c r="B22" s="14" t="inlineStr">
        <is>
          <t>B3</t>
        </is>
      </c>
      <c r="C22" s="6" t="inlineStr">
        <is>
          <t>Kanal ve fiyat uyumu</t>
        </is>
      </c>
      <c r="D22" s="7" t="inlineStr">
        <is>
          <t>B</t>
        </is>
      </c>
      <c r="E22" s="13" t="n">
        <v>6</v>
      </c>
      <c r="F22" s="9">
        <f>INDEX($D$4:$D$9,MATCH(D22,$B$4:$B$9,0))*E22/SUMIF($D$14:$D$39,D22,$E$14:$E$39)</f>
        <v>6</v>
      </c>
      <c r="G22" s="7" t="inlineStr">
        <is>
          <t>fayda</t>
        </is>
      </c>
      <c r="H22" s="6" t="inlineStr">
        <is>
          <t>Seçilen kanal bu fiyatı taşıyor mu?</t>
        </is>
      </c>
      <c r="I22" s="6" t="inlineStr">
        <is>
          <t>Çelişiyor: ucuz ürün ve kurucu satışı ya da pahalı ürün ve yalnız arama.</t>
        </is>
      </c>
      <c r="J22" s="6" t="inlineStr">
        <is>
          <t>Uyum makul ama sınanmadı.</t>
        </is>
      </c>
      <c r="K22" s="6" t="inlineStr">
        <is>
          <t>Bu kanal bu fiyatla en az bir kez satış getirdi.</t>
        </is>
      </c>
      <c r="L22" s="6" t="inlineStr">
        <is>
          <t>Satış kaydı, benzer satış geçmişi</t>
        </is>
      </c>
    </row>
    <row r="23">
      <c r="B23" s="14" t="inlineStr">
        <is>
          <t>B4</t>
        </is>
      </c>
      <c r="C23" s="6" t="inlineStr">
        <is>
          <t>Ürüne gömülü dağıtım</t>
        </is>
      </c>
      <c r="D23" s="7" t="inlineStr">
        <is>
          <t>B</t>
        </is>
      </c>
      <c r="E23" s="13" t="n">
        <v>5</v>
      </c>
      <c r="F23" s="9">
        <f>INDEX($D$4:$D$9,MATCH(D23,$B$4:$B$9,0))*E23/SUMIF($D$14:$D$39,D23,$E$14:$E$39)</f>
        <v>5</v>
      </c>
      <c r="G23" s="7" t="inlineStr">
        <is>
          <t>fayda</t>
        </is>
      </c>
      <c r="H23" s="6" t="inlineStr">
        <is>
          <t>Ürünün kullanımı, alıcı profiline uyan yeni kişilere ürünü gösteriyor mu?</t>
        </is>
      </c>
      <c r="I23" s="6" t="inlineStr">
        <is>
          <t>Kullanım kimseye görünmüyor.</t>
        </is>
      </c>
      <c r="J23" s="6" t="inlineStr">
        <is>
          <t>Çıktı başkalarına gidiyor ama görenler alıcı profili değil ya da seyrek.</t>
        </is>
      </c>
      <c r="K23" s="6" t="inlineStr">
        <is>
          <t>Her kullanım alıcı profiline uyan yeni kişilere ürünü gösteriyor: davet, paylaşılan çıktı, ürün imzası.</t>
        </is>
      </c>
      <c r="L23" s="6" t="inlineStr">
        <is>
          <t>Çıktı örneği, davet akışı</t>
        </is>
      </c>
    </row>
    <row r="24">
      <c r="B24" s="14" t="inlineStr">
        <is>
          <t>B5</t>
        </is>
      </c>
      <c r="C24" s="6" t="inlineStr">
        <is>
          <t>Segment ağ yoğunluğu ve ortak kanalı</t>
        </is>
      </c>
      <c r="D24" s="7" t="inlineStr">
        <is>
          <t>B</t>
        </is>
      </c>
      <c r="E24" s="13" t="n">
        <v>3</v>
      </c>
      <c r="F24" s="9">
        <f>INDEX($D$4:$D$9,MATCH(D24,$B$4:$B$9,0))*E24/SUMIF($D$14:$D$39,D24,$E$14:$E$39)</f>
        <v>3</v>
      </c>
      <c r="G24" s="7" t="inlineStr">
        <is>
          <t>fayda</t>
        </is>
      </c>
      <c r="H24" s="6" t="inlineStr">
        <is>
          <t>Alıcılar birbirini tanıyor mu; ürünü kendi müşterisine önerecek bir aracı var mı?</t>
        </is>
      </c>
      <c r="I24" s="6" t="inlineStr">
        <is>
          <t>Alıcılar dağınık; aracı yok.</t>
        </is>
      </c>
      <c r="J24" s="6" t="inlineStr">
        <is>
          <t>Dernek, oda ya da grup var ama erişim kurulmadı.</t>
        </is>
      </c>
      <c r="K24" s="6" t="inlineStr">
        <is>
          <t>Yoğun bağlantılı niş ve erişilebilir ortak (mali müşavir, bayi, oda) var.</t>
        </is>
      </c>
      <c r="L24" s="6" t="inlineStr">
        <is>
          <t>Topluluk adı, ortak görüşmesi</t>
        </is>
      </c>
    </row>
    <row r="25">
      <c r="B25" s="14" t="inlineStr">
        <is>
          <t>B6</t>
        </is>
      </c>
      <c r="C25" s="6" t="inlineStr">
        <is>
          <t>Kanal bağımlılığı</t>
        </is>
      </c>
      <c r="D25" s="7" t="inlineStr">
        <is>
          <t>B</t>
        </is>
      </c>
      <c r="E25" s="13" t="n">
        <v>3</v>
      </c>
      <c r="F25" s="9">
        <f>INDEX($D$4:$D$9,MATCH(D25,$B$4:$B$9,0))*E25/SUMIF($D$14:$D$39,D25,$E$14:$E$39)</f>
        <v>3</v>
      </c>
      <c r="G25" s="7" t="inlineStr">
        <is>
          <t>ters</t>
        </is>
      </c>
      <c r="H25" s="6" t="inlineStr">
        <is>
          <t>Kanalın kuralı ya da görünürlüğü değişirse satış durur mu?</t>
        </is>
      </c>
      <c r="I25" s="6" t="inlineStr">
        <is>
          <t>Tek platforma ya da tek ilişkiye tam bağımlı.</t>
        </is>
      </c>
      <c r="J25" s="6" t="inlineStr">
        <is>
          <t>Bir ana kanal ve bir yedek var.</t>
        </is>
      </c>
      <c r="K25" s="6" t="inlineStr">
        <is>
          <t>Birbirinden bağımsız birden çok kanal; kural değişikliği işi durdurmaz.</t>
        </is>
      </c>
      <c r="L25" s="6" t="inlineStr">
        <is>
          <t>Kanal listesi</t>
        </is>
      </c>
    </row>
    <row r="26">
      <c r="B26" s="14" t="inlineStr">
        <is>
          <t>C1</t>
        </is>
      </c>
      <c r="C26" s="6" t="inlineStr">
        <is>
          <t>İlk tahsilata kalan süre</t>
        </is>
      </c>
      <c r="D26" s="7" t="inlineStr">
        <is>
          <t>C</t>
        </is>
      </c>
      <c r="E26" s="13" t="n">
        <v>6</v>
      </c>
      <c r="F26" s="9">
        <f>INDEX($D$4:$D$9,MATCH(D26,$B$4:$B$9,0))*E26/SUMIF($D$14:$D$39,D26,$E$14:$E$39)</f>
        <v>6</v>
      </c>
      <c r="G26" s="7" t="inlineStr">
        <is>
          <t>fayda</t>
        </is>
      </c>
      <c r="H26" s="6" t="inlineStr">
        <is>
          <t>Bugünden ilk paranın hesaba girmesine kadar ne kadar var?</t>
        </is>
      </c>
      <c r="I26" s="6" t="inlineStr">
        <is>
          <t>3 aydan uzun.</t>
        </is>
      </c>
      <c r="J26" s="6" t="inlineStr">
        <is>
          <t>4-8 hafta.</t>
        </is>
      </c>
      <c r="K26" s="6" t="inlineStr">
        <is>
          <t>2 haftadan kısa.</t>
        </is>
      </c>
      <c r="L26" s="6" t="inlineStr">
        <is>
          <t>Plan, kalan iş listesi</t>
        </is>
      </c>
    </row>
    <row r="27">
      <c r="B27" s="14" t="inlineStr">
        <is>
          <t>C2</t>
        </is>
      </c>
      <c r="C27" s="6" t="inlineStr">
        <is>
          <t>İlk satılabilir kapsama kalan kurucu eforu</t>
        </is>
      </c>
      <c r="D27" s="7" t="inlineStr">
        <is>
          <t>C</t>
        </is>
      </c>
      <c r="E27" s="13" t="n">
        <v>5</v>
      </c>
      <c r="F27" s="9">
        <f>INDEX($D$4:$D$9,MATCH(D27,$B$4:$B$9,0))*E27/SUMIF($D$14:$D$39,D27,$E$14:$E$39)</f>
        <v>5</v>
      </c>
      <c r="G27" s="7" t="inlineStr">
        <is>
          <t>ters</t>
        </is>
      </c>
      <c r="H27" s="6" t="inlineStr">
        <is>
          <t>İlk ödeme alınabilecek kapsama ulaşmak için bundan sonra ne kadar emek gerekiyor?</t>
        </is>
      </c>
      <c r="I27" s="6" t="inlineStr">
        <is>
          <t>8 haftadan çok.</t>
        </is>
      </c>
      <c r="J27" s="6" t="inlineStr">
        <is>
          <t>3-5 hafta.</t>
        </is>
      </c>
      <c r="K27" s="6" t="inlineStr">
        <is>
          <t>1 haftadan az ya da elle hemen sunulabilir.</t>
        </is>
      </c>
      <c r="L27" s="6" t="inlineStr">
        <is>
          <t>Kalan iş listesi, mevcut kod durumu</t>
        </is>
      </c>
    </row>
    <row r="28">
      <c r="B28" s="14" t="inlineStr">
        <is>
          <t>C3</t>
        </is>
      </c>
      <c r="C28" s="6" t="inlineStr">
        <is>
          <t>Satış döngüsü ve onay zinciri</t>
        </is>
      </c>
      <c r="D28" s="7" t="inlineStr">
        <is>
          <t>C</t>
        </is>
      </c>
      <c r="E28" s="13" t="n">
        <v>4</v>
      </c>
      <c r="F28" s="9">
        <f>INDEX($D$4:$D$9,MATCH(D28,$B$4:$B$9,0))*E28/SUMIF($D$14:$D$39,D28,$E$14:$E$39)</f>
        <v>4</v>
      </c>
      <c r="G28" s="7" t="inlineStr">
        <is>
          <t>ters</t>
        </is>
      </c>
      <c r="H28" s="6" t="inlineStr">
        <is>
          <t>İlk temastan ödemeye kadar ne kadar sürer; kaç kişi onaylar?</t>
        </is>
      </c>
      <c r="I28" s="6" t="inlineStr">
        <is>
          <t>3 aydan uzun; çok onaylı.</t>
        </is>
      </c>
      <c r="J28" s="6" t="inlineStr">
        <is>
          <t>2-6 hafta.</t>
        </is>
      </c>
      <c r="K28" s="6" t="inlineStr">
        <is>
          <t>Tek görüşmede ya da görüşmesiz karar.</t>
        </is>
      </c>
      <c r="L28" s="6" t="inlineStr">
        <is>
          <t>Benzer satış geçmişi</t>
        </is>
      </c>
    </row>
    <row r="29">
      <c r="B29" s="14" t="inlineStr">
        <is>
          <t>C4</t>
        </is>
      </c>
      <c r="C29" s="6" t="inlineStr">
        <is>
          <t>İlk değere ulaşma süresi ve kurulum</t>
        </is>
      </c>
      <c r="D29" s="7" t="inlineStr">
        <is>
          <t>C</t>
        </is>
      </c>
      <c r="E29" s="13" t="n">
        <v>3</v>
      </c>
      <c r="F29" s="9">
        <f>INDEX($D$4:$D$9,MATCH(D29,$B$4:$B$9,0))*E29/SUMIF($D$14:$D$39,D29,$E$14:$E$39)</f>
        <v>3</v>
      </c>
      <c r="G29" s="7" t="inlineStr">
        <is>
          <t>fayda</t>
        </is>
      </c>
      <c r="H29" s="6" t="inlineStr">
        <is>
          <t>Alıcı ilk anlamlı sonucu ne kadar sürede görüyor?</t>
        </is>
      </c>
      <c r="I29" s="6" t="inlineStr">
        <is>
          <t>Haftalar süren kurulum ya da entegrasyon.</t>
        </is>
      </c>
      <c r="J29" s="6" t="inlineStr">
        <is>
          <t>1-3 günlük kurulum.</t>
        </is>
      </c>
      <c r="K29" s="6" t="inlineStr">
        <is>
          <t>Dakikalar ya da saatler içinde ilk sonuç.</t>
        </is>
      </c>
      <c r="L29" s="6" t="inlineStr">
        <is>
          <t>Kurulum adımları, demo</t>
        </is>
      </c>
    </row>
    <row r="30">
      <c r="B30" s="14" t="inlineStr">
        <is>
          <t>C5</t>
        </is>
      </c>
      <c r="C30" s="6" t="inlineStr">
        <is>
          <t>Kendi kendine satın alınabilirlik</t>
        </is>
      </c>
      <c r="D30" s="7" t="inlineStr">
        <is>
          <t>C</t>
        </is>
      </c>
      <c r="E30" s="13" t="n">
        <v>2</v>
      </c>
      <c r="F30" s="9">
        <f>INDEX($D$4:$D$9,MATCH(D30,$B$4:$B$9,0))*E30/SUMIF($D$14:$D$39,D30,$E$14:$E$39)</f>
        <v>2</v>
      </c>
      <c r="G30" s="7" t="inlineStr">
        <is>
          <t>fayda</t>
        </is>
      </c>
      <c r="H30" s="6" t="inlineStr">
        <is>
          <t>Kapsam, fiyat, deneme ve ödeme görüşme yapmadan anlaşılabiliyor mu?</t>
        </is>
      </c>
      <c r="I30" s="6" t="inlineStr">
        <is>
          <t>Demo, teklif ve sözleşme şart.</t>
        </is>
      </c>
      <c r="J30" s="6" t="inlineStr">
        <is>
          <t>Fiyat açık ama ödeme için görüşme gerekiyor.</t>
        </is>
      </c>
      <c r="K30" s="6" t="inlineStr">
        <is>
          <t>Fiyat, deneme ve ödeme görüşmesiz.</t>
        </is>
      </c>
      <c r="L30" s="6" t="inlineStr">
        <is>
          <t>Fiyat sayfası, ödeme akışı</t>
        </is>
      </c>
    </row>
    <row r="31">
      <c r="B31" s="14" t="inlineStr">
        <is>
          <t>C6</t>
        </is>
      </c>
      <c r="C31" s="6" t="inlineStr">
        <is>
          <t>Geçiş, entegrasyon ve güven bariyeri</t>
        </is>
      </c>
      <c r="D31" s="7" t="inlineStr">
        <is>
          <t>C</t>
        </is>
      </c>
      <c r="E31" s="13" t="n">
        <v>2</v>
      </c>
      <c r="F31" s="9">
        <f>INDEX($D$4:$D$9,MATCH(D31,$B$4:$B$9,0))*E31/SUMIF($D$14:$D$39,D31,$E$14:$E$39)</f>
        <v>2</v>
      </c>
      <c r="G31" s="7" t="inlineStr">
        <is>
          <t>ters</t>
        </is>
      </c>
      <c r="H31" s="6" t="inlineStr">
        <is>
          <t>Alıcının başlamak için sistem değiştirmesi, veri taşıması ya da güvenlik incelemesi yapması gerekiyor mu?</t>
        </is>
      </c>
      <c r="I31" s="6" t="inlineStr">
        <is>
          <t>Veri taşıma, entegrasyon ve güvenlik incelemesi gerekiyor.</t>
        </is>
      </c>
      <c r="J31" s="6" t="inlineStr">
        <is>
          <t>Sınırlı veri girişi yeterli.</t>
        </is>
      </c>
      <c r="K31" s="6" t="inlineStr">
        <is>
          <t>Mevcut işe küçük bir ek; bariyer yok.</t>
        </is>
      </c>
      <c r="L31" s="6" t="inlineStr">
        <is>
          <t>Kurulum gereksinimleri</t>
        </is>
      </c>
    </row>
    <row r="32">
      <c r="B32" s="14" t="inlineStr">
        <is>
          <t>D1</t>
        </is>
      </c>
      <c r="C32" s="6" t="inlineStr">
        <is>
          <t>Gelir yoğunluğu</t>
        </is>
      </c>
      <c r="D32" s="7" t="inlineStr">
        <is>
          <t>D</t>
        </is>
      </c>
      <c r="E32" s="13" t="n">
        <v>4</v>
      </c>
      <c r="F32" s="9">
        <f>INDEX($D$4:$D$9,MATCH(D32,$B$4:$B$9,0))*E32/SUMIF($D$14:$D$39,D32,$E$14:$E$39)</f>
        <v>4</v>
      </c>
      <c r="G32" s="7" t="inlineStr">
        <is>
          <t>fayda</t>
        </is>
      </c>
      <c r="H32" s="6" t="inlineStr">
        <is>
          <t>6 aylık hedefi kaç satış kapatır?</t>
        </is>
      </c>
      <c r="I32" s="6" t="inlineStr">
        <is>
          <t>100'den çok satış gerekir.</t>
        </is>
      </c>
      <c r="J32" s="6" t="inlineStr">
        <is>
          <t>10-30 satış.</t>
        </is>
      </c>
      <c r="K32" s="6" t="inlineStr">
        <is>
          <t>1-5 satış.</t>
        </is>
      </c>
      <c r="L32" s="6" t="inlineStr">
        <is>
          <t>Fiyat ve hedef hesabı</t>
        </is>
      </c>
    </row>
    <row r="33">
      <c r="B33" s="14" t="inlineStr">
        <is>
          <t>D2</t>
        </is>
      </c>
      <c r="C33" s="6" t="inlineStr">
        <is>
          <t>Tekrar eden ihtiyaç</t>
        </is>
      </c>
      <c r="D33" s="7" t="inlineStr">
        <is>
          <t>D</t>
        </is>
      </c>
      <c r="E33" s="13" t="n">
        <v>2</v>
      </c>
      <c r="F33" s="9">
        <f>INDEX($D$4:$D$9,MATCH(D33,$B$4:$B$9,0))*E33/SUMIF($D$14:$D$39,D33,$E$14:$E$39)</f>
        <v>2</v>
      </c>
      <c r="G33" s="7" t="inlineStr">
        <is>
          <t>fayda</t>
        </is>
      </c>
      <c r="H33" s="6" t="inlineStr">
        <is>
          <t>Aynı müşteri neden yeniden ödeme yapar?</t>
        </is>
      </c>
      <c r="I33" s="6" t="inlineStr">
        <is>
          <t>Tek seferlik ihtiyaç; tekrar yok.</t>
        </is>
      </c>
      <c r="J33" s="6" t="inlineStr">
        <is>
          <t>Yılda birkaç kez.</t>
        </is>
      </c>
      <c r="K33" s="6" t="inlineStr">
        <is>
          <t>Aylık ya da sürekli ihtiyaç; yenileme nedeni açık.</t>
        </is>
      </c>
      <c r="L33" s="6" t="inlineStr">
        <is>
          <t>Kullanım sıklığı</t>
        </is>
      </c>
    </row>
    <row r="34">
      <c r="B34" s="14" t="inlineStr">
        <is>
          <t>D3</t>
        </is>
      </c>
      <c r="C34" s="6" t="inlineStr">
        <is>
          <t>Genişleme ve fiyatın değerle uyumu</t>
        </is>
      </c>
      <c r="D34" s="7" t="inlineStr">
        <is>
          <t>D</t>
        </is>
      </c>
      <c r="E34" s="13" t="n">
        <v>2</v>
      </c>
      <c r="F34" s="9">
        <f>INDEX($D$4:$D$9,MATCH(D34,$B$4:$B$9,0))*E34/SUMIF($D$14:$D$39,D34,$E$14:$E$39)</f>
        <v>2</v>
      </c>
      <c r="G34" s="7" t="inlineStr">
        <is>
          <t>fayda</t>
        </is>
      </c>
      <c r="H34" s="6" t="inlineStr">
        <is>
          <t>Müşteri büyüdükçe ya da daha çok kullandıkça gelir artıyor mu?</t>
        </is>
      </c>
      <c r="I34" s="6" t="inlineStr">
        <is>
          <t>Tek fiyat; genişleme yok.</t>
        </is>
      </c>
      <c r="J34" s="6" t="inlineStr">
        <is>
          <t>Üst paket var.</t>
        </is>
      </c>
      <c r="K34" s="6" t="inlineStr">
        <is>
          <t>Fiyat kullanım, şube ya da kullanıcı sayısıyla büyüyor; değerle uyumlu.</t>
        </is>
      </c>
      <c r="L34" s="6" t="inlineStr">
        <is>
          <t>Fiyat yapısı</t>
        </is>
      </c>
    </row>
    <row r="35">
      <c r="B35" s="14" t="inlineStr">
        <is>
          <t>E1</t>
        </is>
      </c>
      <c r="C35" s="6" t="inlineStr">
        <is>
          <t>Alan bilgisi, itibar ve ilişki</t>
        </is>
      </c>
      <c r="D35" s="7" t="inlineStr">
        <is>
          <t>E</t>
        </is>
      </c>
      <c r="E35" s="13" t="n">
        <v>3</v>
      </c>
      <c r="F35" s="9">
        <f>INDEX($D$4:$D$9,MATCH(D35,$B$4:$B$9,0))*E35/SUMIF($D$14:$D$39,D35,$E$14:$E$39)</f>
        <v>3</v>
      </c>
      <c r="G35" s="7" t="inlineStr">
        <is>
          <t>fayda</t>
        </is>
      </c>
      <c r="H35" s="6" t="inlineStr">
        <is>
          <t>Kurucu bu alanı ve bu alıcıyı dışarıdan başlayan birinden daha iyi tanıyor mu?</t>
        </is>
      </c>
      <c r="I35" s="6" t="inlineStr">
        <is>
          <t>Alanı tanımıyor.</t>
        </is>
      </c>
      <c r="J35" s="6" t="inlineStr">
        <is>
          <t>Alanı tanıyor; ağı sınırlı.</t>
        </is>
      </c>
      <c r="K35" s="6" t="inlineStr">
        <is>
          <t>Alanda uzman; itibarı ve ağı var.</t>
        </is>
      </c>
      <c r="L35" s="6" t="inlineStr">
        <is>
          <t>Geçmiş iş, referans</t>
        </is>
      </c>
    </row>
    <row r="36">
      <c r="B36" s="14" t="inlineStr">
        <is>
          <t>E2</t>
        </is>
      </c>
      <c r="C36" s="6" t="inlineStr">
        <is>
          <t>Ücretsiz, yapay zekâ, Excel ve hiçbir şey yapmama seçeneğine karşı fark</t>
        </is>
      </c>
      <c r="D36" s="7" t="inlineStr">
        <is>
          <t>E</t>
        </is>
      </c>
      <c r="E36" s="13" t="n">
        <v>4</v>
      </c>
      <c r="F36" s="9">
        <f>INDEX($D$4:$D$9,MATCH(D36,$B$4:$B$9,0))*E36/SUMIF($D$14:$D$39,D36,$E$14:$E$39)</f>
        <v>4</v>
      </c>
      <c r="G36" s="7" t="inlineStr">
        <is>
          <t>fayda</t>
        </is>
      </c>
      <c r="H36" s="6" t="inlineStr">
        <is>
          <t>Alıcının bugünkü en kolay seçeneğini bırakması için yeterli neden var mı?</t>
        </is>
      </c>
      <c r="I36" s="6" t="inlineStr">
        <is>
          <t>Ücretsiz güçlü bir seçenek aynı işi görüyor.</t>
        </is>
      </c>
      <c r="J36" s="6" t="inlineStr">
        <is>
          <t>Fark var ama alıcıya anlatmak gerekiyor.</t>
        </is>
      </c>
      <c r="K36" s="6" t="inlineStr">
        <is>
          <t>Seçenek yok ya da belirgin biçimde yetersiz; geçiş nedeni rakamla gösterilebiliyor.</t>
        </is>
      </c>
      <c r="L36" s="6" t="inlineStr">
        <is>
          <t>Rakip ve ikame karşılaştırması</t>
        </is>
      </c>
    </row>
    <row r="37">
      <c r="B37" s="14" t="inlineStr">
        <is>
          <t>F1</t>
        </is>
      </c>
      <c r="C37" s="6" t="inlineStr">
        <is>
          <t>Müşteri başına kurucu emeği</t>
        </is>
      </c>
      <c r="D37" s="7" t="inlineStr">
        <is>
          <t>F</t>
        </is>
      </c>
      <c r="E37" s="13" t="n">
        <v>4</v>
      </c>
      <c r="F37" s="9">
        <f>INDEX($D$4:$D$9,MATCH(D37,$B$4:$B$9,0))*E37/SUMIF($D$14:$D$39,D37,$E$14:$E$39)</f>
        <v>4</v>
      </c>
      <c r="G37" s="7" t="inlineStr">
        <is>
          <t>ters</t>
        </is>
      </c>
      <c r="H37" s="6" t="inlineStr">
        <is>
          <t>Her yeni müşteri kurucudan ne kadar kurulum, eğitim ve destek istiyor?</t>
        </is>
      </c>
      <c r="I37" s="6" t="inlineStr">
        <is>
          <t>Her müşteri yoğun kurulum, eğitim ve destek istiyor.</t>
        </is>
      </c>
      <c r="J37" s="6" t="inlineStr">
        <is>
          <t>İlk kurulum elle; sonrası az.</t>
        </is>
      </c>
      <c r="K37" s="6" t="inlineStr">
        <is>
          <t>Self-servis; müşteri başına ayda dakikalar.</t>
        </is>
      </c>
      <c r="L37" s="6" t="inlineStr">
        <is>
          <t>Kurulum ve destek tahmini, pilot ölçümü</t>
        </is>
      </c>
    </row>
    <row r="38">
      <c r="B38" s="14" t="inlineStr">
        <is>
          <t>F2</t>
        </is>
      </c>
      <c r="C38" s="6" t="inlineStr">
        <is>
          <t>Sorumluluk riski</t>
        </is>
      </c>
      <c r="D38" s="7" t="inlineStr">
        <is>
          <t>F</t>
        </is>
      </c>
      <c r="E38" s="13" t="n">
        <v>2</v>
      </c>
      <c r="F38" s="9">
        <f>INDEX($D$4:$D$9,MATCH(D38,$B$4:$B$9,0))*E38/SUMIF($D$14:$D$39,D38,$E$14:$E$39)</f>
        <v>2</v>
      </c>
      <c r="G38" s="7" t="inlineStr">
        <is>
          <t>ters</t>
        </is>
      </c>
      <c r="H38" s="6" t="inlineStr">
        <is>
          <t>Hatalı çıktı müşteriye ceza ya da zarar doğurur mu?</t>
        </is>
      </c>
      <c r="I38" s="6" t="inlineStr">
        <is>
          <t>Hatalı çıktı müşteriye ceza ya da ciddi zarar doğurur.</t>
        </is>
      </c>
      <c r="J38" s="6" t="inlineStr">
        <is>
          <t>Sınırlı zarar.</t>
        </is>
      </c>
      <c r="K38" s="6" t="inlineStr">
        <is>
          <t>Zarar riski yok.</t>
        </is>
      </c>
      <c r="L38" s="6" t="inlineStr">
        <is>
          <t>Hukuki okuma</t>
        </is>
      </c>
    </row>
    <row r="39">
      <c r="B39" s="14" t="inlineStr">
        <is>
          <t>F3</t>
        </is>
      </c>
      <c r="C39" s="6" t="inlineStr">
        <is>
          <t>Standart teslim</t>
        </is>
      </c>
      <c r="D39" s="7" t="inlineStr">
        <is>
          <t>F</t>
        </is>
      </c>
      <c r="E39" s="13" t="n">
        <v>2</v>
      </c>
      <c r="F39" s="9">
        <f>INDEX($D$4:$D$9,MATCH(D39,$B$4:$B$9,0))*E39/SUMIF($D$14:$D$39,D39,$E$14:$E$39)</f>
        <v>2</v>
      </c>
      <c r="G39" s="7" t="inlineStr">
        <is>
          <t>ters</t>
        </is>
      </c>
      <c r="H39" s="6" t="inlineStr">
        <is>
          <t>Müşteriler özel istek ve istisna üretiyor mu?</t>
        </is>
      </c>
      <c r="I39" s="6" t="inlineStr">
        <is>
          <t>Her müşteri özel geliştirme istiyor.</t>
        </is>
      </c>
      <c r="J39" s="6" t="inlineStr">
        <is>
          <t>Yapılandırmayla çözülüyor.</t>
        </is>
      </c>
      <c r="K39" s="6" t="inlineStr">
        <is>
          <t>Herkes aynı ürünü kullanıyor.</t>
        </is>
      </c>
      <c r="L39" s="6" t="inlineStr">
        <is>
          <t>Kapsam tanımı</t>
        </is>
      </c>
    </row>
    <row r="40">
      <c r="C40" s="14" t="inlineStr">
        <is>
          <t>Toplam</t>
        </is>
      </c>
      <c r="F40" s="9">
        <f>SUM(F14:F39)</f>
        <v>100</v>
      </c>
    </row>
    <row r="43">
      <c r="A43" s="4" t="inlineStr"/>
      <c r="B43" s="4" t="inlineStr">
        <is>
          <t>ID</t>
        </is>
      </c>
      <c r="C43" s="4" t="inlineStr">
        <is>
          <t>Stratejik kriter</t>
        </is>
      </c>
      <c r="D43" s="4" t="inlineStr"/>
      <c r="E43" s="4" t="inlineStr">
        <is>
          <t>Ağırlık</t>
        </is>
      </c>
      <c r="F43" s="4" t="inlineStr"/>
      <c r="G43" s="4" t="inlineStr"/>
      <c r="H43" s="4" t="inlineStr">
        <is>
          <t>Soru</t>
        </is>
      </c>
      <c r="I43" s="4" t="inlineStr">
        <is>
          <t>1 puan</t>
        </is>
      </c>
      <c r="J43" s="4" t="inlineStr">
        <is>
          <t>3 puan</t>
        </is>
      </c>
      <c r="K43" s="4" t="inlineStr">
        <is>
          <t>5 puan</t>
        </is>
      </c>
    </row>
    <row r="44">
      <c r="B44" s="14" t="inlineStr">
        <is>
          <t>S1</t>
        </is>
      </c>
      <c r="C44" s="7" t="inlineStr">
        <is>
          <t>Pazar büyüklüğü ve büyüme</t>
        </is>
      </c>
      <c r="E44" s="15" t="n">
        <v>25</v>
      </c>
      <c r="H44" s="6" t="inlineStr">
        <is>
          <t>Ulaşılabilir pazar 3 yılda anlamlı bir işi taşır mı?</t>
        </is>
      </c>
      <c r="I44" s="6" t="inlineStr">
        <is>
          <t>Çok dar ya da duran pazar.</t>
        </is>
      </c>
      <c r="J44" s="6" t="inlineStr">
        <is>
          <t>Orta ölçekli pazar.</t>
        </is>
      </c>
      <c r="K44" s="6" t="inlineStr">
        <is>
          <t>Büyük ve büyüyen pazar; kaynakla gösterilmiş.</t>
        </is>
      </c>
    </row>
    <row r="45">
      <c r="B45" s="14" t="inlineStr">
        <is>
          <t>S2</t>
        </is>
      </c>
      <c r="C45" s="7" t="inlineStr">
        <is>
          <t>Savunulabilirlik</t>
        </is>
      </c>
      <c r="E45" s="15" t="n">
        <v>25</v>
      </c>
      <c r="H45" s="6" t="inlineStr">
        <is>
          <t>Rakip ya da yapay zekâ bunu ne kadar kolay kopyalar?</t>
        </is>
      </c>
      <c r="I45" s="6" t="inlineStr">
        <is>
          <t>Birkaç haftada kopyalanır.</t>
        </is>
      </c>
      <c r="J45" s="6" t="inlineStr">
        <is>
          <t>Bir miktar veri ya da entegrasyon üstünlüğü var.</t>
        </is>
      </c>
      <c r="K45" s="6" t="inlineStr">
        <is>
          <t>Tescilli veri, derin entegrasyon, mevzuat uzmanlığı ya da ağ etkisi var.</t>
        </is>
      </c>
    </row>
    <row r="46">
      <c r="B46" s="14" t="inlineStr">
        <is>
          <t>S3</t>
        </is>
      </c>
      <c r="C46" s="7" t="inlineStr">
        <is>
          <t>Ölçeklenebilirlik</t>
        </is>
      </c>
      <c r="E46" s="15" t="n">
        <v>25</v>
      </c>
      <c r="H46" s="6" t="inlineStr">
        <is>
          <t>Gelir kurucunun saatinden bağımsız büyüyebilir mi?</t>
        </is>
      </c>
      <c r="I46" s="6" t="inlineStr">
        <is>
          <t>Gelir kurucu saatine bağlı.</t>
        </is>
      </c>
      <c r="J46" s="6" t="inlineStr">
        <is>
          <t>Kısmen ürünleşmiş.</t>
        </is>
      </c>
      <c r="K46" s="6" t="inlineStr">
        <is>
          <t>Yazılım geliri; ek müşterinin maliyeti düşük.</t>
        </is>
      </c>
    </row>
    <row r="47">
      <c r="B47" s="14" t="inlineStr">
        <is>
          <t>S4</t>
        </is>
      </c>
      <c r="C47" s="7" t="inlineStr">
        <is>
          <t>Portföy sinerjisi ve yeniden kullanılabilir öğrenme</t>
        </is>
      </c>
      <c r="E47" s="15" t="n">
        <v>25</v>
      </c>
      <c r="H47" s="6" t="inlineStr">
        <is>
          <t>Bu iş başka projelerin müşterisini, kodunu ya da kanalını besliyor mu?</t>
        </is>
      </c>
      <c r="I47" s="6" t="inlineStr">
        <is>
          <t>Yalıtık.</t>
        </is>
      </c>
      <c r="J47" s="6" t="inlineStr">
        <is>
          <t>Bir başka projeyle ortak müşteri ya da kod.</t>
        </is>
      </c>
      <c r="K47" s="6" t="inlineStr">
        <is>
          <t>Birden çok projenin müşterisini, kodunu ya da kanalını besliyor.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136"/>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22" customWidth="1" min="1" max="1"/>
    <col width="34" customWidth="1" min="2" max="2"/>
    <col width="40" customWidth="1" min="3" max="3"/>
    <col width="14" customWidth="1" min="4" max="4"/>
    <col width="40" customWidth="1" min="5" max="5"/>
    <col width="44" customWidth="1" min="6" max="6"/>
    <col width="36" customWidth="1" min="7" max="7"/>
    <col width="44" customWidth="1" min="8" max="8"/>
    <col width="30" customWidth="1" min="9" max="9"/>
    <col width="40" customWidth="1" min="10" max="10"/>
    <col width="36" customWidth="1" min="11" max="11"/>
    <col width="36" customWidth="1" min="12" max="12"/>
    <col width="46" customWidth="1" min="13" max="13"/>
    <col width="26" customWidth="1" min="14" max="14"/>
    <col width="16" customWidth="1" min="15" max="15"/>
    <col width="16" customWidth="1" min="16" max="16"/>
  </cols>
  <sheetData>
    <row r="1">
      <c r="A1" s="1" t="inlineStr">
        <is>
          <t>Ticari seçenekler</t>
        </is>
      </c>
    </row>
    <row r="2">
      <c r="A2" s="3" t="inlineStr">
        <is>
          <t>Her satır bir seçenektir; satır numarası bütün sayfalarda aynıdır.</t>
        </is>
      </c>
    </row>
    <row r="4">
      <c r="A4" s="4" t="inlineStr">
        <is>
          <t>Kimlik</t>
        </is>
      </c>
      <c r="B4" s="4" t="inlineStr">
        <is>
          <t>Proje</t>
        </is>
      </c>
      <c r="C4" s="4" t="inlineStr">
        <is>
          <t>Seçenek</t>
        </is>
      </c>
      <c r="D4" s="4" t="inlineStr">
        <is>
          <t>Tür</t>
        </is>
      </c>
      <c r="E4" s="4" t="inlineStr">
        <is>
          <t>Müşteri</t>
        </is>
      </c>
      <c r="F4" s="4" t="inlineStr">
        <is>
          <t>Müşterinin işi</t>
        </is>
      </c>
      <c r="G4" s="4" t="inlineStr">
        <is>
          <t>Tetikleyici</t>
        </is>
      </c>
      <c r="H4" s="4" t="inlineStr">
        <is>
          <t>Teklif</t>
        </is>
      </c>
      <c r="I4" s="4" t="inlineStr">
        <is>
          <t>Fiyat</t>
        </is>
      </c>
      <c r="J4" s="4" t="inlineStr">
        <is>
          <t>Birincil kanal</t>
        </is>
      </c>
      <c r="K4" s="4" t="inlineStr">
        <is>
          <t>Yedek kanal</t>
        </is>
      </c>
      <c r="L4" s="4" t="inlineStr">
        <is>
          <t>İlk adım</t>
        </is>
      </c>
      <c r="M4" s="4" t="inlineStr">
        <is>
          <t>İlk satılabilir kapsam</t>
        </is>
      </c>
      <c r="N4" s="4" t="inlineStr">
        <is>
          <t>Segment</t>
        </is>
      </c>
      <c r="O4" s="4" t="inlineStr">
        <is>
          <t>Kanal türü</t>
        </is>
      </c>
      <c r="P4" s="4" t="inlineStr">
        <is>
          <t>Düzenleme</t>
        </is>
      </c>
    </row>
    <row r="5">
      <c r="A5" s="16" t="inlineStr">
        <is>
          <t>zabuno-a</t>
        </is>
      </c>
      <c r="B5" s="16" t="inlineStr">
        <is>
          <t>Zabuno (QR menü ve sipariş yazılımı)</t>
        </is>
      </c>
      <c r="C5" s="16" t="inlineStr">
        <is>
          <t>Kafe aboneliği: kurulum dahil Restaurant planı</t>
        </is>
      </c>
      <c r="D5" s="16" t="inlineStr">
        <is>
          <t>yazılım ürünü</t>
        </is>
      </c>
      <c r="E5" s="16" t="inlineStr">
        <is>
          <t>İstanbul'da 20-50 masalı, menüsünü sahibi yöneten tek şubeli kafe ve pastaneler</t>
        </is>
      </c>
      <c r="F5" s="16" t="inlineStr">
        <is>
          <t>Fiyat değişince menüyü yeniden bastırmadan masadaki QR menüyü güncellemek, yönetmeliğe uyumlu liste göstermek</t>
        </is>
      </c>
      <c r="G5" s="16" t="inlineStr">
        <is>
          <t>Zam sonrası menü baskı faturası, yeni açılış, karekodla fiyat listesini tanıyan yönetmelik haberi</t>
        </is>
      </c>
      <c r="H5" s="16" t="inlineStr">
        <is>
          <t>Fotoğraftan 30 dakikada kurulum, 40 QR kart hediye, ilk ay ücretsiz; sonra Restaurant planı, havale ile</t>
        </is>
      </c>
      <c r="I5" s="16" t="inlineStr">
        <is>
          <t>Restaurant 499 TL/ay (KDV dahil varsayımı, net 416 TL); Team 999 TL/ay; Starter 0 TL</t>
        </is>
      </c>
      <c r="J5" s="16" t="inlineStr">
        <is>
          <t>Kadıköy, Beşiktaş, Şişli kafelerine WhatsApp ve yüz yüze semt turu (haftada 8 ziyaret)</t>
        </is>
      </c>
      <c r="K5" s="16" t="inlineStr">
        <is>
          <t>Semt matbaaları, mali müşavir ofisleri, restoran işletmecisi Facebook grupları ve yönetmelik rehberi</t>
        </is>
      </c>
      <c r="L5" s="16" t="inlineStr">
        <is>
          <t>Kurumsal sitede Türkçe ana sayfayı açmak, menü yönetimi hatalarını denetlemek, 20 kafelik liste çıkarmak</t>
        </is>
      </c>
      <c r="M5" s="16" t="inlineStr">
        <is>
          <t>Mevcut Restaurant planı; havale ile tahsilat, elle plan ataması, GİB portalından elle e-arşiv fatura; kurulum kurucu eliyle</t>
        </is>
      </c>
      <c r="N5" s="16" t="inlineStr">
        <is>
          <t>Tek şubeli kafe ve pastane, İstanbul</t>
        </is>
      </c>
      <c r="O5" s="16" t="inlineStr">
        <is>
          <t>kurucu satışı</t>
        </is>
      </c>
      <c r="P5" s="16" t="inlineStr">
        <is>
          <t>KVKK</t>
        </is>
      </c>
    </row>
    <row r="6">
      <c r="A6" s="16" t="inlineStr">
        <is>
          <t>zabuno-b</t>
        </is>
      </c>
      <c r="B6" s="16" t="inlineStr">
        <is>
          <t>Zabuno (QR menü ve sipariş yazılımı)</t>
        </is>
      </c>
      <c r="C6" s="16" t="inlineStr">
        <is>
          <t>Zincir planı: çok şubeli kahve zinciri pilotu</t>
        </is>
      </c>
      <c r="D6" s="16" t="inlineStr">
        <is>
          <t>yazılım ürünü</t>
        </is>
      </c>
      <c r="E6" s="16" t="inlineStr">
        <is>
          <t>10-100 şubeli kahve ve yeme-içme zincirleri; ilk aday çok şubeli bir kahve zinciri (mevcut danışmanlık ilişkisi)</t>
        </is>
      </c>
      <c r="F6" s="16" t="inlineStr">
        <is>
          <t>Şubelerin aynı menüyü ve fiyatı göstermesini merkezden onaylı yayınla sağlamak, şube bazında ölçmek</t>
        </is>
      </c>
      <c r="G6" s="16" t="inlineStr">
        <is>
          <t>Yeni franchise sözleşmesi, marka standardı denetimi, şubeler arası fiyat tutarsızlığı şikâyeti</t>
        </is>
      </c>
      <c r="H6" s="16" t="inlineStr">
        <is>
          <t>3 şubede 60 gün ücretsiz pilot, ardından yıllık sözleşmeli Zincir planı; DPA ve hizmet seviyesi metinleri hazır</t>
        </is>
      </c>
      <c r="I6" s="16" t="inlineStr">
        <is>
          <t>Öneri (katalogda yok): zincir paketi 6.373 TL/ay (net 5.311 TL), şube sayısına göre kademeli</t>
        </is>
      </c>
      <c r="J6" s="16" t="inlineStr">
        <is>
          <t>Mevcut danışmanlık ilişkisi üzerinden pazarlama yöneticisine e-posta ve toplantı</t>
        </is>
      </c>
      <c r="K6" s="16" t="inlineStr">
        <is>
          <t>UFRAD üyeleri, franchise fuarı, LinkedIn'de pazarlama ve franchise yöneticileri</t>
        </is>
      </c>
      <c r="L6" s="16" t="inlineStr">
        <is>
          <t>3 şube pilot teklifini yazılı gönder; pilot kapsamını mevcut çoklu şube özellikleriyle sınırla</t>
        </is>
      </c>
      <c r="M6" s="16" t="inlineStr">
        <is>
          <t>Pilot: şube başına menü ve kod (mevcut). Ücretli kapsam: merkezden onaylı yayın, şube fiyat istisnası, karşılaştırma raporu (henüz yok)</t>
        </is>
      </c>
      <c r="N6" s="16" t="inlineStr">
        <is>
          <t>10-100 şubeli kahve ve yeme-içme zinciri</t>
        </is>
      </c>
      <c r="O6" s="16" t="inlineStr">
        <is>
          <t>mevcut müşteri</t>
        </is>
      </c>
      <c r="P6" s="16" t="inlineStr">
        <is>
          <t>KVKK</t>
        </is>
      </c>
    </row>
    <row r="7">
      <c r="A7" s="16" t="inlineStr">
        <is>
          <t>zabuno-c</t>
        </is>
      </c>
      <c r="B7" s="16" t="inlineStr">
        <is>
          <t>Zabuno (QR menü ve sipariş yazılımı)</t>
        </is>
      </c>
      <c r="C7" s="16" t="inlineStr">
        <is>
          <t>Restoran paneli modül uyarlama hizmeti</t>
        </is>
      </c>
      <c r="D7" s="16" t="inlineStr">
        <is>
          <t>hizmet</t>
        </is>
      </c>
      <c r="E7" s="16" t="inlineStr">
        <is>
          <t>Restoran operasyon sahibi veya restoran müşterisi olan ajans; panel modülünü kendi verisine bağlamak isteyen</t>
        </is>
      </c>
      <c r="F7" s="16" t="inlineStr">
        <is>
          <t>Statik panel tasarımını tipli veriye ve izin akışına bağlamak; medya seçimi ve yayın onayını netleştirmek</t>
        </is>
      </c>
      <c r="G7" s="16" t="inlineStr">
        <is>
          <t>Tasarım teslimi sonrası çalışan modüle ihtiyaç; bir ajansın restoran projesinde tek modülün hızla bitirilmesi</t>
        </is>
      </c>
      <c r="H7" s="16" t="inlineStr">
        <is>
          <t>Sabit kapsamlı tek modül uyarlaması: medya onayı veya menü işlem paneli, tipli veri, izin kontrolü, 2 hafta teslim</t>
        </is>
      </c>
      <c r="I7" s="16" t="inlineStr">
        <is>
          <t>30.000 TL sabit paket (varsayım: 40 saat x eşik saat ücreti); kaynakta fiyat yok</t>
        </is>
      </c>
      <c r="J7" s="16" t="inlineStr">
        <is>
          <t>Anonim, izinli panel örneğiyle restoran müşterisi olan ajanslara kurucu doğrudan teklif</t>
        </is>
      </c>
      <c r="K7" s="16" t="inlineStr">
        <is>
          <t>Zabuno restoran müşterilerine ürün içi ve WhatsApp üzerinden uyarlama önerisi</t>
        </is>
      </c>
      <c r="L7" s="16" t="inlineStr">
        <is>
          <t>Anonim, sentetik bir medya onayı demosu ve tek sayfalık kapsam yaz</t>
        </is>
      </c>
      <c r="M7" s="16" t="inlineStr">
        <is>
          <t>Tek modül: medya seçimi ve yayın onayı akışı, tipli veri ve izin ayrımı; mevcut tasarım teslimi temel alınır</t>
        </is>
      </c>
      <c r="N7" s="16" t="inlineStr">
        <is>
          <t>Restoran müşterisi olan ajans, restoran operasyon sahibi</t>
        </is>
      </c>
      <c r="O7" s="16" t="inlineStr">
        <is>
          <t>kurucu satışı</t>
        </is>
      </c>
      <c r="P7" s="16" t="inlineStr">
        <is>
          <t>KVKK</t>
        </is>
      </c>
    </row>
    <row r="8">
      <c r="A8" s="16" t="inlineStr">
        <is>
          <t>parselq-a</t>
        </is>
      </c>
      <c r="B8" s="16" t="inlineStr">
        <is>
          <t>arsam.net / ParselQ (arsa raporu, emlakçı aracı, pazar yeri)</t>
        </is>
      </c>
      <c r="C8" s="16" t="inlineStr">
        <is>
          <t>ParselQ Rapor: tek parsel bilgi notu (bireysel alıcı)</t>
        </is>
      </c>
      <c r="D8" s="16" t="inlineStr">
        <is>
          <t>hizmet</t>
        </is>
      </c>
      <c r="E8" s="16" t="inlineStr">
        <is>
          <t>Şehir dışından ya da yurt dışından arsa/tarla bakan bireysel alıcı; ikincil: hissedarlı arsa satıcısı, küçük müteahhit</t>
        </is>
      </c>
      <c r="F8" s="16" t="inlineStr">
        <is>
          <t>Almadan önce parselin doğru yer olduğunu, imar durumunu, çevresini, risklerini ve emsal fiyat bandını anlamak</t>
        </is>
      </c>
      <c r="G8" s="16" t="inlineStr">
        <is>
          <t>Kapora istenmesi, eşin 'belgesi var mı' sorusu, ilandaki 'imar durumu sorunuz' ibaresi, yaz öncesi diaspora alım dönemi</t>
        </is>
      </c>
      <c r="H8" s="16" t="inlineStr">
        <is>
          <t>Ada/parsel ve varsa imar belgesinden 48 saatte 3 sayfa PDF bilgi notu; yanlış parselde ya da gecikmede koşulsuz iade; değerleme değildir</t>
        </is>
      </c>
      <c r="I8" s="16" t="inlineStr">
        <is>
          <t>Temel 299, Standart 499, Pro 799 ₺ (KDV dahil); toplu analiz 2.500 ₺ / 3 parsel; diaspora 19-39 USD</t>
        </is>
      </c>
      <c r="J8" s="16" t="inlineStr">
        <is>
          <t>Elle yazılmış 20 ilçe imar rehberi sayfası (arama) ve Ekşi Sözlük ile Donanımhaber arsa başlıklarında soru cevaplama</t>
        </is>
      </c>
      <c r="K8" s="16" t="inlineStr">
        <is>
          <t>Diaspora Facebook sayfaları, arsa YouTube kanallarında yorum ve ortak video, harita büroları ile karşılıklı yönlendirme</t>
        </is>
      </c>
      <c r="L8" s="16" t="inlineStr">
        <is>
          <t>Ücretsiz ön kontrol formunu aç; Biga, Balıkesir ve Didim için 3 herkese açık örnek rapor yayınla</t>
        </is>
      </c>
      <c r="M8" s="16" t="inlineStr">
        <is>
          <t>Form, belge yükleme, ödeme bağlantısı, 3 sayfalık PDF şablonu, harita ve mesafe tablosu, deprem sınıfı, elle emsal girişi; imar özeti ilk 100 raporda analist kontrollü</t>
        </is>
      </c>
      <c r="N8" s="16" t="inlineStr">
        <is>
          <t>Bireysel arsa alıcısı (şehir dışı, diaspora)</t>
        </is>
      </c>
      <c r="O8" s="16" t="inlineStr">
        <is>
          <t>içerik</t>
        </is>
      </c>
      <c r="P8" s="16" t="inlineStr">
        <is>
          <t>KVKK</t>
        </is>
      </c>
    </row>
    <row r="9">
      <c r="A9" s="16" t="inlineStr">
        <is>
          <t>parselq-b</t>
        </is>
      </c>
      <c r="B9" s="16" t="inlineStr">
        <is>
          <t>arsam.net / ParselQ (arsa raporu, emlakçı aracı, pazar yeri)</t>
        </is>
      </c>
      <c r="C9" s="16" t="inlineStr">
        <is>
          <t>Parsel Kartı: emlakçıya arsa ilanı için güven kartı aboneliği</t>
        </is>
      </c>
      <c r="D9" s="16" t="inlineStr">
        <is>
          <t>yazılım ürünü</t>
        </is>
      </c>
      <c r="E9" s="16" t="inlineStr">
        <is>
          <t>Bodrum, Çeşme, Urla, Didim ve Kuşadası'nda arsa portföylü, yetki belgeli emlak ofisleri</t>
        </is>
      </c>
      <c r="F9" s="16" t="inlineStr">
        <is>
          <t>Arsa ilanını diğer ofislerden ayırmak ve alıcının 'imar durumu ne, parsel nerede' sorusunu ilanın içinde cevaplamak</t>
        </is>
      </c>
      <c r="G9" s="16" t="inlineStr">
        <is>
          <t>Mart-Mayıs sezon öncesi portföy tazeleme, rakip ofisin kartlı ilanı, EİDS sonrası güven sinyali ihtiyacı</t>
        </is>
      </c>
      <c r="H9" s="16" t="inlineStr">
        <is>
          <t>Ada/parsel girişinden 24 saatte ilan görseli ve açıklaması: m², imar özeti, mesafe tablosu, deprem sınıfı, harita, QR; ilk 10 kart ücretsiz, 7 gün deneme</t>
        </is>
      </c>
      <c r="I9" s="16" t="inlineStr">
        <is>
          <t>Ofis 299 ₺/ay (10 kart), Ofis+ 499 ₺/ay (sınırsız kart, rapor %30 indirim); KDV dahil, ortalama 399 ₺</t>
        </is>
      </c>
      <c r="J9" s="16" t="inlineStr">
        <is>
          <t>pilot ilçelerdeki arsa ofislerine herkese açık iletişim bilgisiyle tek mesajlık WhatsApp ve ücretsiz örnek kart (haftada 20 görüşme)</t>
        </is>
      </c>
      <c r="K9" s="16" t="inlineStr">
        <is>
          <t>TÜGEM ve TEMFED üye dernekleri (Bodrum, Kuşadası, Didim) ile 20 dakikalık EİDS sonrası arsa ilanı sunumu; kart QR döngüsü</t>
        </is>
      </c>
      <c r="L9" s="16" t="inlineStr">
        <is>
          <t>15 ofisle WhatsApp görüşmesi başlat, 5 ofise ücretsiz pilot kart üret</t>
        </is>
      </c>
      <c r="M9" s="16" t="inlineStr">
        <is>
          <t>Kart üreteci (PNG/PDF, QR, ofis logosu, EİDS izin numarası alanı), herkese açık parsel sayfası, ödeme bağlantısı; ilk kartlar elle üretilir, ofis paneli sonra</t>
        </is>
      </c>
      <c r="N9" s="16" t="inlineStr">
        <is>
          <t>Arsa odaklı yetki belgeli emlak ofisleri</t>
        </is>
      </c>
      <c r="O9" s="16" t="inlineStr">
        <is>
          <t>kurucu satışı</t>
        </is>
      </c>
      <c r="P9" s="16" t="inlineStr">
        <is>
          <t>mevzuata bağlı</t>
        </is>
      </c>
    </row>
    <row r="10">
      <c r="A10" s="16" t="inlineStr">
        <is>
          <t>parselq-c</t>
        </is>
      </c>
      <c r="B10" s="16" t="inlineStr">
        <is>
          <t>arsam.net / ParselQ (arsa raporu, emlakçı aracı, pazar yeri)</t>
        </is>
      </c>
      <c r="C10" s="16" t="inlineStr">
        <is>
          <t>Uzmanlı karar dosyası: kaynak izli arsa raporu (danışmanlık ofisi)</t>
        </is>
      </c>
      <c r="D10" s="16" t="inlineStr">
        <is>
          <t>hizmet</t>
        </is>
      </c>
      <c r="E10" s="16" t="inlineStr">
        <is>
          <t>5-15 kişilik arsa ve ticari gayrimenkul danışmanlık ofisleri; ikincil: küçük proje geliştirici</t>
        </is>
      </c>
      <c r="F10" s="16" t="inlineStr">
        <is>
          <t>Yetkili belge, alan, birim ve fiyat varsayımlarını kaynak, tarih ve uzman onayıyla tek karar dosyasında toplamak; iki seçeneği karşılaştırmak</t>
        </is>
      </c>
      <c r="G10" s="16" t="inlineStr">
        <is>
          <t>Alıcıyla haftalık görüşme öncesi hazırlık; ayda 5-30 ciddi proje dosyası ve yeni gelen belge ya da revizyon</t>
        </is>
      </c>
      <c r="H10" s="16" t="inlineStr">
        <is>
          <t>Kaynak, tarih ve doğrulayıcı izli, uzman onaylı karar dosyası (PDF) ve iki seçenek karşılaştırması; eksik belge boş bırakılır, yapay zekâ doldurmaz</t>
        </is>
      </c>
      <c r="I10" s="16" t="inlineStr">
        <is>
          <t>Rapor başına 4.000 ₺ test fiyatı (KDV hariç varsayıldı); tekrar iş çıkarsa kaynak ve sürüm aboneliği sonra</t>
        </is>
      </c>
      <c r="J10" s="16" t="inlineStr">
        <is>
          <t>Gerçek ilişkisi olan bir danışmanlık ofisine anonim örnek dosya ve ofisin alıcıya teslim linki (ofis adı henüz yok)</t>
        </is>
      </c>
      <c r="K10" s="16" t="inlineStr">
        <is>
          <t>Yerel meslek eğitimi (30 dakikalık kaynak ve varsayım gösterimi) ve belge kontrol listesi şablonu (arama niyeti ölçülmedi)</t>
        </is>
      </c>
      <c r="L10" s="16" t="inlineStr">
        <is>
          <t>Beş sentetik dosya hazırla; gerçek ilişkisi olan bir ofisten iki yetkili pilot iste</t>
        </is>
      </c>
      <c r="M10" s="16" t="inlineStr">
        <is>
          <t>Elle P0: kanonik dosya kimliği, belge kaynak/tarih/doğrulayıcı alanı, eksik belge kontrolü, iki seçenek karşılaştırması, uzman onayı, PDF; paylaşım bağlantısı ve rol yok</t>
        </is>
      </c>
      <c r="N10" s="16" t="inlineStr">
        <is>
          <t>Arsa ve ticari gayrimenkul danışmanlık ofisleri</t>
        </is>
      </c>
      <c r="O10" s="16" t="inlineStr">
        <is>
          <t>ortak</t>
        </is>
      </c>
      <c r="P10" s="16" t="inlineStr">
        <is>
          <t>mevzuata bağlı</t>
        </is>
      </c>
    </row>
    <row r="11">
      <c r="A11" s="16" t="inlineStr">
        <is>
          <t>destektesvik-a</t>
        </is>
      </c>
      <c r="B11" s="16" t="inlineStr">
        <is>
          <t>DestekTeşvik (destek ve teşvik uygunluk platformu)</t>
        </is>
      </c>
      <c r="C11" s="16" t="inlineStr">
        <is>
          <t>Uzman onaylı ön değerlendirme raporu (KOBİ)</t>
        </is>
      </c>
      <c r="D11" s="16" t="inlineStr">
        <is>
          <t>hizmet</t>
        </is>
      </c>
      <c r="E11" s="16" t="inlineStr">
        <is>
          <t>Ar-Ge yapan teknoloji KOBİ'si ve 10-249 çalışanlı imalatçı; karar veren kurucu ya da finans sorumlusu</t>
        </is>
      </c>
      <c r="F11" s="16" t="inlineStr">
        <is>
          <t>Şirketine hangi KOSGEB, TÜBİTAK ya da ajans programının uygun olduğunu, eksik koşulu ve son tarihi kaynaklı öğrenmek</t>
        </is>
      </c>
      <c r="G11" s="16" t="inlineStr">
        <is>
          <t>TÜBİTAK 1501 (26 Ekim) ve 1507 (11 Kasım 2026) çağrı kapanışları; yatırım kararı öncesi uygunluk sorusu</t>
        </is>
      </c>
      <c r="H11" s="16" t="inlineStr">
        <is>
          <t>48 saatte teslim, 5-8 programlık, kaynak ve tarihli gerekçeli, uzman kontrollü PDF rapor; başvuru yazılmaz, garanti verilmez</t>
        </is>
      </c>
      <c r="I11" s="16" t="inlineStr">
        <is>
          <t>2.990 TL tek seferlik (KDV hariç); rapora başlanmadan tam iade</t>
        </is>
      </c>
      <c r="J11" s="16" t="inlineStr">
        <is>
          <t>Üniversite TTO'ları ve teknopark bültenleri (YÖK listesindeki 45 TTO); program ve çağrı sayfaları henüz yok</t>
        </is>
      </c>
      <c r="K11" s="16" t="inlineStr">
        <is>
          <t>Kurucunun mevcut KOBİ tanıdıkları, LinkedIn paylaşımları ve mali müşavir oda webinarları</t>
        </is>
      </c>
      <c r="L11" s="16" t="inlineStr">
        <is>
          <t>1501 ve 1507 için 2 sözleşmeli uzmanla iki programı doğrula, rapor şablonunu yaz, 10 KOBİ'ye teklif gönder</t>
        </is>
      </c>
      <c r="M11" s="16" t="inlineStr">
        <is>
          <t>Elle üretilen rapor: 4-5 doğrulanmış program (1501, 1507, KOSGEB Girişimci ve Kapasite Geliştirme), form, havale ya da sanal POS, e-arşiv; yazılım arayüzü gerekmez.</t>
        </is>
      </c>
      <c r="N11" s="16" t="inlineStr">
        <is>
          <t>Ar-Ge KOBİ'si, imalatçı KOBİ</t>
        </is>
      </c>
      <c r="O11" s="16" t="inlineStr">
        <is>
          <t>ortak</t>
        </is>
      </c>
      <c r="P11" s="16" t="inlineStr">
        <is>
          <t>mevzuata bağlı</t>
        </is>
      </c>
    </row>
    <row r="12">
      <c r="A12" s="16" t="inlineStr">
        <is>
          <t>destektesvik-b</t>
        </is>
      </c>
      <c r="B12" s="16" t="inlineStr">
        <is>
          <t>DestekTeşvik (destek ve teşvik uygunluk platformu)</t>
        </is>
      </c>
      <c r="C12" s="16" t="inlineStr">
        <is>
          <t>Mali müşavir ve danışman portföy tarama paketi</t>
        </is>
      </c>
      <c r="D12" s="16" t="inlineStr">
        <is>
          <t>yazılım ürünü</t>
        </is>
      </c>
      <c r="E12" s="16" t="inlineStr">
        <is>
          <t>30-100 mükellefi olan mali müşavir bürosu ve 3-15 kişilik teşvik danışmanlığı ofisi</t>
        </is>
      </c>
      <c r="F12" s="16" t="inlineStr">
        <is>
          <t>Çağrı açılınca portföydeki şirketlerin hangi programa uygun olduğunu tek seferde, kaynaklı ve markalı raporla çıkarmak</t>
        </is>
      </c>
      <c r="G12" s="16" t="inlineStr">
        <is>
          <t>Ocak-Şubat ve Temmuz-Ağustos çağrı dönemleri; mükelleflerden gelen 'bize uygun mu' soruları</t>
        </is>
      </c>
      <c r="H12" s="16" t="inlineStr">
        <is>
          <t>Aylık portföy taraması: 25 şirkete kadar toplu değerlendirme, değişiklik uyarısı, büro logolu 10 rapor/ay; 8 hafta ücretsiz pilot</t>
        </is>
      </c>
      <c r="I12" s="16" t="inlineStr">
        <is>
          <t>2.990 TL/ay (25 şirket); 5.990 TL/ay (100 şirket); GPT testi 4.000 TL/ay, 20 dosya</t>
        </is>
      </c>
      <c r="J12" s="16" t="inlineStr">
        <is>
          <t>Mali müşavir odalarının eğitim komisyonları ve TESMER webinarları (İSMMMO, İZSMMMO gibi); çeyrekte 2 oda, 60 dakika</t>
        </is>
      </c>
      <c r="K12" s="16" t="inlineStr">
        <is>
          <t>Teşvik danışmanlarına LinkedIn ve herkese açık profil üzerinden tek mesajla ortaklık teklifi</t>
        </is>
      </c>
      <c r="L12" s="16" t="inlineStr">
        <is>
          <t>İSMMMO ya da İZSMMMO eğitim komisyonuna 'portföyünüzü tarayın' webinarı için başvur</t>
        </is>
      </c>
      <c r="M12" s="16" t="inlineStr">
        <is>
          <t>Tek kiracıda CSV ile 25 şirketlik toplu tarama, 8-15 doğrulanmış program, büro logolu PDF özet; rol ve çok kullanıcı yok.</t>
        </is>
      </c>
      <c r="N12" s="16" t="inlineStr">
        <is>
          <t>Mali müşavir bürosu, teşvik danışmanı</t>
        </is>
      </c>
      <c r="O12" s="16" t="inlineStr">
        <is>
          <t>ortak</t>
        </is>
      </c>
      <c r="P12" s="16" t="inlineStr">
        <is>
          <t>KVKK</t>
        </is>
      </c>
    </row>
    <row r="13">
      <c r="A13" s="16" t="inlineStr">
        <is>
          <t>destektesvik-c</t>
        </is>
      </c>
      <c r="B13" s="16" t="inlineStr">
        <is>
          <t>DestekTeşvik (destek ve teşvik uygunluk platformu)</t>
        </is>
      </c>
      <c r="C13" s="16" t="inlineStr">
        <is>
          <t>Oda ve OSB üye taraması sponsorluk paketi</t>
        </is>
      </c>
      <c r="D13" s="16" t="inlineStr">
        <is>
          <t>hizmet</t>
        </is>
      </c>
      <c r="E13" s="16" t="inlineStr">
        <is>
          <t>Ticaret ve sanayi odası, organize sanayi bölgesi ya da teknopark yönetimi (üyelerine hizmet sunan kurum)</t>
        </is>
      </c>
      <c r="F13" s="16" t="inlineStr">
        <is>
          <t>Üyelerine çağrı öncesi uygunluk taraması sunmak ve üye memnuniyetini ölçülebilir kılmak</t>
        </is>
      </c>
      <c r="G13" s="16" t="inlineStr">
        <is>
          <t>Çağrı dönemi öncesi üye bilgilendirmesi; kurumun yıllık üye hizmeti ve bütçe planı</t>
        </is>
      </c>
      <c r="H13" s="16" t="inlineStr">
        <is>
          <t>20 üyelik 8 haftalık pilot, ardından yılda 2 toplu tarama, üyelere %30 rapor indirimi ve kurum işbirliği görünürlüğü</t>
        </is>
      </c>
      <c r="I13" s="16" t="inlineStr">
        <is>
          <t>60.000 TL/yıl sponsorluk peşin ya da 9.990 TL/ay kurumsal paket (KDV hariç)</t>
        </is>
      </c>
      <c r="J13" s="16" t="inlineStr">
        <is>
          <t>Doğrudan kurucu satışı: oda ve OSB yönetimine pilot teklifi (hedef kurumlar henüz adlandırılmadı)</t>
        </is>
      </c>
      <c r="K13" s="16" t="inlineStr">
        <is>
          <t>Üniversite teknoloji transfer ofisleri ve teknopark yönetimlerine ücretsiz 20 firmalık tarama teklifi</t>
        </is>
      </c>
      <c r="L13" s="16" t="inlineStr">
        <is>
          <t>Beş oda, OSB ya da TTO seç, her birine bir sayfalık pilot teklifi gönder</t>
        </is>
      </c>
      <c r="M13" s="16" t="inlineStr">
        <is>
          <t>20 üyelik pilot: davet bağlantısıyla üye profili, anonim toplu özet, ücretli rapor indirimi; SSO, API ve portal yok.</t>
        </is>
      </c>
      <c r="N13" s="16" t="inlineStr">
        <is>
          <t>Oda, OSB, teknopark yönetimi</t>
        </is>
      </c>
      <c r="O13" s="16" t="inlineStr">
        <is>
          <t>kurucu satışı</t>
        </is>
      </c>
      <c r="P13" s="16" t="inlineStr">
        <is>
          <t>KVKK</t>
        </is>
      </c>
    </row>
    <row r="14">
      <c r="A14" s="16" t="inlineStr">
        <is>
          <t>asgari-iscilik-a</t>
        </is>
      </c>
      <c r="B14" s="16" t="inlineStr">
        <is>
          <t>Asgari işçilik ve hakediş uyum platformu</t>
        </is>
      </c>
      <c r="C14" s="16" t="inlineStr">
        <is>
          <t>Bir inşaat firmasına sabit fiyatlı uyum yazılımı projesi</t>
        </is>
      </c>
      <c r="D14" s="16" t="inlineStr">
        <is>
          <t>hizmet</t>
        </is>
      </c>
      <c r="E14" s="16" t="inlineStr">
        <is>
          <t>Kamu ihalesi alan, çok taşeronlu orta ve büyük ölçekli bir inşaat firması (mali işler ve genel müdür onayı)</t>
        </is>
      </c>
      <c r="F14" s="16" t="inlineStr">
        <is>
          <t>İlişiksizlik belgesi, kesin teminat ve hakedişin SGK asgari işçilik hesabı yüzünden kilitlenmemesi; taşeron bazında doğru kesinti</t>
        </is>
      </c>
      <c r="G14" s="16" t="inlineStr">
        <is>
          <t>2026 SGK genelgesi sonrası günceldışı kalan tablo; eksik işçilik tebliği; teminat çözümünde gecikme</t>
        </is>
      </c>
      <c r="H14" s="16" t="inlineStr">
        <is>
          <t>Dört modüllü ilk sürüm (üç hesap motoru, taşeron matrisi, parametre kilidi), 12 senaryoda kuruş kabulü; sonrasında aylık bakım</t>
        </is>
      </c>
      <c r="I14" s="16" t="inlineStr">
        <is>
          <t>360.000 ₺ + KDV (90 adam-gün); yüzde 30 imza, yüzde 40 kabul testi, yüzde 30 canlıya alma; bakım 12.000-15.000 ₺/ay</t>
        </is>
      </c>
      <c r="J14" s="16" t="inlineStr">
        <is>
          <t>Mevcut ilişki: teklif sürecindeki inşaat firması, kod ve müşteri ilişkisinin sahibi şirketin yazılı onayıyla</t>
        </is>
      </c>
      <c r="K14" s="16" t="inlineStr">
        <is>
          <t>Kamu ihale sonuç ilanlarından çıkarılan yükleniciler; müşterinin mali müşaviri ve SGK danışmanı</t>
        </is>
      </c>
      <c r="L14" s="16" t="inlineStr">
        <is>
          <t>Yazılı sahiplik anlaşmasını bağla; 45 dakikalık sunum ve iki gerçek senaryoda kuruş kanıtı prototipi</t>
        </is>
      </c>
      <c r="M14" s="16" t="inlineStr">
        <is>
          <t>Parametre tablosu ile ruhsat ve ihale hesabı iskeleti; iki senaryo kanıtı. Satış bununla yapılır, kalan dört modül avansla üretilir.</t>
        </is>
      </c>
      <c r="N14" s="16" t="inlineStr">
        <is>
          <t>Kamu ihalesi alan yüklenici</t>
        </is>
      </c>
      <c r="O14" s="16" t="inlineStr">
        <is>
          <t>mevcut müşteri</t>
        </is>
      </c>
      <c r="P14" s="16" t="inlineStr">
        <is>
          <t>mevzuata bağlı</t>
        </is>
      </c>
    </row>
    <row r="15">
      <c r="A15" s="16" t="inlineStr">
        <is>
          <t>asgari-iscilik-b</t>
        </is>
      </c>
      <c r="B15" s="16" t="inlineStr">
        <is>
          <t>Asgari işçilik ve hakediş uyum platformu</t>
        </is>
      </c>
      <c r="C15" s="16" t="inlineStr">
        <is>
          <t>Mali müşavir ve yükleniciye aylık abonelik (çok kiracılı platform)</t>
        </is>
      </c>
      <c r="D15" s="16" t="inlineStr">
        <is>
          <t>yazılım ürünü</t>
        </is>
      </c>
      <c r="E15" s="16" t="inlineStr">
        <is>
          <t>İnşaat mükellefi olan mali müşavir büroları (10-40 mükellef) ve 2-5 şantiyeli yükleniciler</t>
        </is>
      </c>
      <c r="F15" s="16" t="inlineStr">
        <is>
          <t>Her mükellef ya da şantiye için asgari işçilik yükümlülüğünü her ay tek yerden izlemek, mevzuat değişince hesabı günler içinde güncellemek</t>
        </is>
      </c>
      <c r="G15" s="16" t="inlineStr">
        <is>
          <t>2026 genelgesi sonrası tabloların güncellenmesi; eksik işçilik tebliğinde bir aylık itiraz süresi</t>
        </is>
      </c>
      <c r="H15" s="16" t="inlineStr">
        <is>
          <t>Aylık abonelik: ruhsat, ihale ve hakediş hesabı, taşeron matrisi, uyarı, PDF rapor; 30 gün ücretsiz pilot, ilk 14 gün iade</t>
        </is>
      </c>
      <c r="I15" s="16" t="inlineStr">
        <is>
          <t>Mali müşavir bürosu 2.490 ₺/ay (10 mükellef); yüklenici 1.490 / 3.990 / 9.900 ₺/ay; yıllık peşin indirimli</t>
        </is>
      </c>
      <c r="J15" s="16" t="inlineStr">
        <is>
          <t>Mali müşavir odalarının ücretsiz eğitim webinarları (İstanbul, Ankara, İzmir, Bursa odaları)</t>
        </is>
      </c>
      <c r="K15" s="16" t="inlineStr">
        <is>
          <t>Ücretsiz asgari işçilik hesaplayıcısı ve genelge rehberi; LinkedIn içerikleri; ihale ilanlarından e-posta</t>
        </is>
      </c>
      <c r="L15" s="16" t="inlineStr">
        <is>
          <t>İki odaya webinar başvurusu; hesaplayıcı ve rehber içeriği; ilk iki mali müşavirle sekiz haftalık ücretsiz pilot</t>
        </is>
      </c>
      <c r="M15" s="16" t="inlineStr">
        <is>
          <t>Tek kiracılı çalışan çekirdek: ruhsat ve ihale hesabı, parametre tablosu, CSV içe aktarma, PDF rapor; abonelik ve ödeme akışı.</t>
        </is>
      </c>
      <c r="N15" s="16" t="inlineStr">
        <is>
          <t>Mali müşavir ve orta ölçekli yüklenici</t>
        </is>
      </c>
      <c r="O15" s="16" t="inlineStr">
        <is>
          <t>topluluk</t>
        </is>
      </c>
      <c r="P15" s="16" t="inlineStr">
        <is>
          <t>KVKK</t>
        </is>
      </c>
    </row>
    <row r="16">
      <c r="A16" s="16" t="inlineStr">
        <is>
          <t>asgari-iscilik-c</t>
        </is>
      </c>
      <c r="B16" s="16" t="inlineStr">
        <is>
          <t>Asgari işçilik ve hakediş uyum platformu</t>
        </is>
      </c>
      <c r="C16" s="16" t="inlineStr">
        <is>
          <t>Asgari işçilik hesap ve dosya kontrol raporu (uzman teyitli)</t>
        </is>
      </c>
      <c r="D16" s="16" t="inlineStr">
        <is>
          <t>hizmet</t>
        </is>
      </c>
      <c r="E16" s="16" t="inlineStr">
        <is>
          <t>Taşeronlu ihale ve ruhsat işi yapan yüklenicinin mali işleri; yükleniciye hizmet veren mali müşavir ve teknik ofis</t>
        </is>
      </c>
      <c r="F16" s="16" t="inlineStr">
        <is>
          <t>Kendi tablosundaki günceldışı çarpan, kırık bağ, tür hatası ve açıklamasız düzeltmeyi bulup 2026 kurallarıyla doğru rakamı belgelemek</t>
        </is>
      </c>
      <c r="G16" s="16" t="inlineStr">
        <is>
          <t>2026 genelgesi sonrası hesabı yenileme ihtiyacı; eksik işçilik tebliği; ilişiksizlik belgesi ya da teminat öncesi son kontrol</t>
        </is>
      </c>
      <c r="H16" s="16" t="inlineStr">
        <is>
          <t>Sabit kapsamlı kontrol raporu: bir dosya, bir dönem karşılaştırması, uzman onaylı bulgu listesi ve kaynak hücreli özet; teslim 5 iş günü</t>
        </is>
      </c>
      <c r="I16" s="16" t="inlineStr">
        <is>
          <t>10.000 ₺ + KDV dosya başı (test fiyatı); tekrar dönem kontrolü ayrı paket</t>
        </is>
      </c>
      <c r="J16" s="16" t="inlineStr">
        <is>
          <t>Mali müşavir odaları webinarı ve ihale ilanlarından çıkarılan yüklenici listesine kişisel e-posta (50/ay)</t>
        </is>
      </c>
      <c r="K16" s="16" t="inlineStr">
        <is>
          <t>Mevcut ilişki olan inşaat firması ve mali müşaviri; LinkedIn ve genelge rehberi; ücretsiz hesaplayıcı</t>
        </is>
      </c>
      <c r="L16" s="16" t="inlineStr">
        <is>
          <t>On sentetik doğru ve bozuk örnek, iki sayfalık kapsam, ücretsiz kısa teşhis; ilk izinli dosya</t>
        </is>
      </c>
      <c r="M16" s="16" t="inlineStr">
        <is>
          <t>Parametreli hesap tablosu, kontrol listesi ve rapor şablonu; müşterinin dosyası elle ve uzman gözüyle kontrol edilir, yazılım yok.</t>
        </is>
      </c>
      <c r="N16" s="16" t="inlineStr">
        <is>
          <t>Yüklenici mali işleri ve mali müşavir</t>
        </is>
      </c>
      <c r="O16" s="16" t="inlineStr">
        <is>
          <t>topluluk</t>
        </is>
      </c>
      <c r="P16" s="16" t="inlineStr">
        <is>
          <t>mevzuata bağlı</t>
        </is>
      </c>
    </row>
    <row r="17">
      <c r="A17" s="16" t="inlineStr">
        <is>
          <t>zincir-danismanligi-a</t>
        </is>
      </c>
      <c r="B17" s="16" t="inlineStr">
        <is>
          <t>Kahve zinciri için dijital dönüşüm danışmanlığı</t>
        </is>
      </c>
      <c r="C17" s="16" t="inlineStr">
        <is>
          <t>90 günlük dijital satış sistemi paketi (çok şubeli zincir)</t>
        </is>
      </c>
      <c r="D17" s="16" t="inlineStr">
        <is>
          <t>hizmet</t>
        </is>
      </c>
      <c r="E17" s="16" t="inlineStr">
        <is>
          <t>çok şubeli bir kahve zinciri: onay genel müdürde, muhatap dijital pazarlama lideri</t>
        </is>
      </c>
      <c r="F17" s="16" t="inlineStr">
        <is>
          <t>Site, e-ticaret mağazası, uygulama ve POS aynı veriyi görmüyor; reklam ölçülemiyor ve platform kararı netleşmeli.</t>
        </is>
      </c>
      <c r="G17" s="16" t="inlineStr">
        <is>
          <t>Kasım-Aralık hediye sezonu, ekip değişikliği ve platform kararı ihtiyacı.</t>
        </is>
      </c>
      <c r="H17" s="16" t="inlineStr">
        <is>
          <t>90 günde platform kararı, ölçüm kurulumu, yerel SEO, entegrasyon yönetimi, 3 test kampanyası ve devir; kabul ölçütlü, haftalık rapor, sonuç garantisi yok.</t>
        </is>
      </c>
      <c r="I17" s="16" t="inlineStr">
        <is>
          <t>180.000 TL + KDV; 3 taksit (imzada %40, 30. gün %30, 90. gün %30); sonra aylık 45.000 TL + KDV</t>
        </is>
      </c>
      <c r="J17" s="16" t="inlineStr">
        <is>
          <t>Mevcut ilişki: zincirin dijital pazarlama lideri; 2 sayfalık teklif ve 20 dakikalık görüşme</t>
        </is>
      </c>
      <c r="K17" s="16" t="inlineStr">
        <is>
          <t>UFRAD üye listesi ve franchise portalları üzerinden diğer zincirlere LinkedIn mesajı</t>
        </is>
      </c>
      <c r="L17" s="16" t="inlineStr">
        <is>
          <t>Bu hafta genel müdüre hitaben 2 sayfalık teklifi gönder; önceki teklifin akıbetini 20 dakikalık görüşmede sor.</t>
        </is>
      </c>
      <c r="M17" s="16" t="inlineStr">
        <is>
          <t>Erişim devri, imzalı platform karar notu ve ölçüm omurgası (6 olay, 2 piksel); 30. gün kabulüyle ikinci taksit.</t>
        </is>
      </c>
      <c r="N17" s="16" t="inlineStr">
        <is>
          <t>20-60 şubeli kahve zinciri</t>
        </is>
      </c>
      <c r="O17" s="16" t="inlineStr">
        <is>
          <t>mevcut müşteri</t>
        </is>
      </c>
      <c r="P17" s="16" t="inlineStr">
        <is>
          <t>KVKK</t>
        </is>
      </c>
    </row>
    <row r="18">
      <c r="A18" s="16" t="inlineStr">
        <is>
          <t>zincir-danismanligi-b</t>
        </is>
      </c>
      <c r="B18" s="16" t="inlineStr">
        <is>
          <t>Kahve zinciri için dijital dönüşüm danışmanlığı</t>
        </is>
      </c>
      <c r="C18" s="16" t="inlineStr">
        <is>
          <t>Kahve zinciri dijital denetim raporu (2 hafta)</t>
        </is>
      </c>
      <c r="D18" s="16" t="inlineStr">
        <is>
          <t>hizmet</t>
        </is>
      </c>
      <c r="E18" s="16" t="inlineStr">
        <is>
          <t>20-60 şubeli, kendi teknoloji ekibi olmayan kahve ve yeme-içme zincirinin pazarlama müdürü</t>
        </is>
      </c>
      <c r="F18" s="16" t="inlineStr">
        <is>
          <t>Mağaza, site, uygulama ve POS verisi birleşmiyor; reklamın neyi getirdiği bilinmiyor; 90 günlük net bir iş sırası isteniyor.</t>
        </is>
      </c>
      <c r="G18" s="16" t="inlineStr">
        <is>
          <t>Yeni sezon bütçesi, ajans değişikliği ya da platform teklifi alınması; denetim kendiliğinden bir tetikleyici değil.</t>
        </is>
      </c>
      <c r="H18" s="16" t="inlineStr">
        <is>
          <t>2 haftada ölçüm, SEO, yerel arama, sosyal, e-ticaret ve rakip denetimi ile 90 günlük program; ücret programa mahsup edilir.</t>
        </is>
      </c>
      <c r="I18" s="16" t="inlineStr">
        <is>
          <t>30.000 TL + KDV, peşin</t>
        </is>
      </c>
      <c r="J18" s="16" t="inlineStr">
        <is>
          <t>UFRAD üye listesi ve franchise portallarından seçilen 30 zincire ayda 10 LinkedIn mesajı</t>
        </is>
      </c>
      <c r="K18" s="16" t="inlineStr">
        <is>
          <t>Kendi kendine dijital olgunluk testi (10 soru) ve e-posta karşılığı rapor; franchise ve HOSTECH fuar ziyaretleri</t>
        </is>
      </c>
      <c r="L18" s="16" t="inlineStr">
        <is>
          <t>30 zincirlik listeyi çıkar; ön denetim şablonunu ve olgunluk testini hazırla; ilk 10 mesajı gönder.</t>
        </is>
      </c>
      <c r="M18" s="16" t="inlineStr">
        <is>
          <t>1 sayfalık ön denetim şablonu ve 2 haftalık rapor şablonu; yalnız halka açık veri ve salt okunur erişimle.</t>
        </is>
      </c>
      <c r="N18" s="16" t="inlineStr">
        <is>
          <t>20-60 şubeli kahve zinciri</t>
        </is>
      </c>
      <c r="O18" s="16" t="inlineStr">
        <is>
          <t>kurucu satışı</t>
        </is>
      </c>
      <c r="P18" s="16" t="inlineStr">
        <is>
          <t>yok</t>
        </is>
      </c>
    </row>
    <row r="19">
      <c r="A19" s="16" t="inlineStr">
        <is>
          <t>zincir-danismanligi-c</t>
        </is>
      </c>
      <c r="B19" s="16" t="inlineStr">
        <is>
          <t>Kahve zinciri için dijital dönüşüm danışmanlığı</t>
        </is>
      </c>
      <c r="C19" s="16" t="inlineStr">
        <is>
          <t>Merkezden yönetilen şube QR menüsü (Zabuno zincir planı)</t>
        </is>
      </c>
      <c r="D19" s="16" t="inlineStr">
        <is>
          <t>yazılım ürünü</t>
        </is>
      </c>
      <c r="E19" s="16" t="inlineStr">
        <is>
          <t>çok şubeli bir kahve zinciri: operasyon ve franchise direktörü, onay genel müdürde</t>
        </is>
      </c>
      <c r="F19" s="16" t="inlineStr">
        <is>
          <t>şubelerde tutarlı fiyat listesi ve masada karekod; fiyat değişince yeniden baskı yapmamak.</t>
        </is>
      </c>
      <c r="G19" s="16" t="inlineStr">
        <is>
          <t>Fiyat etiketi yönetmeliğinde karekodla fiyat listesi yöntemi ve şube başına baskı maliyeti; fiyat güncelleme dönemi.</t>
        </is>
      </c>
      <c r="H19" s="16" t="inlineStr">
        <is>
          <t>3 şubede 60 gün ücretsiz pilot; sonra tüm şubeler için merkezden yayın, şube istisnası ve TR/EN misafir sayfası.</t>
        </is>
      </c>
      <c r="I19" s="16" t="inlineStr">
        <is>
          <t>Pilot 0 TL; sonra bütün şubeler için 6.373 TL + KDV/ay, yıllık sözleşme</t>
        </is>
      </c>
      <c r="J19" s="16" t="inlineStr">
        <is>
          <t>Mevcut ilişki: operasyon direktörü ve dijital pazarlama lideri; pilot, 90 günlük paketin bir kalemi</t>
        </is>
      </c>
      <c r="K19" s="16" t="inlineStr">
        <is>
          <t>POS bayileri ve franchise danışmanlarıyla ortaklık (gelir payı varsayım); UFRAD</t>
        </is>
      </c>
      <c r="L19" s="16" t="inlineStr">
        <is>
          <t>Teklife pilot kalemini ekle; pilot için üç farklı şube tipinden menü CSV dosyalarını iste.</t>
        </is>
      </c>
      <c r="M19" s="16" t="inlineStr">
        <is>
          <t>3 şube QR menüsü ve TR/EN sayfa; merkezden yayın yazılımı henüz yok (Faz 4), pilotta elle yönetilir.</t>
        </is>
      </c>
      <c r="N19" s="16" t="inlineStr">
        <is>
          <t>20-60 şubeli kahve zinciri</t>
        </is>
      </c>
      <c r="O19" s="16" t="inlineStr">
        <is>
          <t>mevcut müşteri</t>
        </is>
      </c>
      <c r="P19" s="16" t="inlineStr">
        <is>
          <t>mevzuata bağlı</t>
        </is>
      </c>
    </row>
    <row r="20">
      <c r="A20" s="16" t="inlineStr">
        <is>
          <t>kar-pusulasi-a</t>
        </is>
      </c>
      <c r="B20" s="16" t="inlineStr">
        <is>
          <t>Stratejik Kâr Pusulası (e-ticaret kârlılık aracı)</t>
        </is>
      </c>
      <c r="C20" s="16" t="inlineStr">
        <is>
          <t>Pro yıllık ve Kurucu Paketi (satıcıya yazılım)</t>
        </is>
      </c>
      <c r="D20" s="16" t="inlineStr">
        <is>
          <t>yazılım ürünü</t>
        </is>
      </c>
      <c r="E20" s="16" t="inlineStr">
        <is>
          <t>Çok pazar yerinde satan 50-500 SKU'lu KOBİ ve yeni başlayan şahıs işletmesi satıcı</t>
        </is>
      </c>
      <c r="F20" s="16" t="inlineStr">
        <is>
          <t>Fiyatı koymadan önce komisyon, kargo, KDV, stopaj, kampanya ve iade sonrası net kârı ve başabaş fiyatı bilmek</t>
        </is>
      </c>
      <c r="G20" s="16" t="inlineStr">
        <is>
          <t>Komisyon ya da kargo tarifesi değişimi (2026'da dört kez), zararlı ay, kampanya öncesi karar</t>
        </is>
      </c>
      <c r="H20" s="16" t="inlineStr">
        <is>
          <t>Pro: toplu Excel, PDF rapor, oran değişim bildirimi. Kurucu Paketi: ömür boyu Pro, ilk 100 kişiye</t>
        </is>
      </c>
      <c r="I20" s="16" t="inlineStr">
        <is>
          <t>Pro 499 TL/yıl, Kurucu Paketi 999 TL tek sefer (KDV dahil); net 416 ve 832 TL</t>
        </is>
      </c>
      <c r="J20" s="16" t="inlineStr">
        <is>
          <t>Telegram 'E-Ticaret Türkiye' grubu (3.200 üye) ve tanıdık satıcılara birebir ekran paylaşımı</t>
        </is>
      </c>
      <c r="K20" s="16" t="inlineStr">
        <is>
          <t>Programatik SEO sayfaları, WhatsApp satıcı grupları; kurucunun eğitim programı (ilk kohort başlamadı, katılımcı sayısı belgesiz)</t>
        </is>
      </c>
      <c r="L20" s="16" t="inlineStr">
        <is>
          <t>Formül hatasını düzelt, Eylül 2026 oranlarını tarihli dosyaya al, 10 tanıdık satıcıya 30 dk görüşme teklif et</t>
        </is>
      </c>
      <c r="M20" s="16" t="inlineStr">
        <is>
          <t>Düzeltilmiş 4 mod, tarihli oran rozeti, toplu Excel içe aktarma, lisans anahtarı e-postası, ödeme bağlantısı</t>
        </is>
      </c>
      <c r="N20" s="16" t="inlineStr">
        <is>
          <t>Pazar yeri satıcısı, 50-500 SKU KOBİ</t>
        </is>
      </c>
      <c r="O20" s="16" t="inlineStr">
        <is>
          <t>topluluk</t>
        </is>
      </c>
      <c r="P20" s="16" t="inlineStr">
        <is>
          <t>KVKK</t>
        </is>
      </c>
    </row>
    <row r="21">
      <c r="A21" s="16" t="inlineStr">
        <is>
          <t>kar-pusulasi-b</t>
        </is>
      </c>
      <c r="B21" s="16" t="inlineStr">
        <is>
          <t>Stratejik Kâr Pusulası (e-ticaret kârlılık aracı)</t>
        </is>
      </c>
      <c r="C21" s="16" t="inlineStr">
        <is>
          <t>Danışman ve ajans paneli (aylık abonelik)</t>
        </is>
      </c>
      <c r="D21" s="16" t="inlineStr">
        <is>
          <t>yazılım ürünü</t>
        </is>
      </c>
      <c r="E21" s="16" t="inlineStr">
        <is>
          <t>5-30 müşteriye pazar yeri yönetimi veren serbest e-ticaret danışmanı ve küçük ajans</t>
        </is>
      </c>
      <c r="F21" s="16" t="inlineStr">
        <is>
          <t>Her müşteri için tarihli oranlarla fiyat raporu üretmek ve fiyat kararını müşteriye kanıtla anlatmak</t>
        </is>
      </c>
      <c r="G21" s="16" t="inlineStr">
        <is>
          <t>Oran ya da tarife değişimi, yeni müşteri alımı, müşterinin fiyat kararına itirazı</t>
        </is>
      </c>
      <c r="H21" s="16" t="inlineStr">
        <is>
          <t>25 müşteri profili, logolu PDF rapor, 3 kullanıcılı ekip hesabı, öncelikli destek; 60 gün ücretsiz deneme</t>
        </is>
      </c>
      <c r="I21" s="16" t="inlineStr">
        <is>
          <t>990 TL/ay ya da 7.900 TL/yıl (KDV dahil); aylık net 825 TL</t>
        </is>
      </c>
      <c r="J21" s="16" t="inlineStr">
        <is>
          <t>LinkedIn'de e-ticaret danışmanlarına kişisel mesaj ve 20 dakikalık demo</t>
        </is>
      </c>
      <c r="K21" s="16" t="inlineStr">
        <is>
          <t>Kurucunun eğitim programı ilk kohortu ve webinar katılımcıları (sayı belgesiz); mali müşavir yönlendirmesi</t>
        </is>
      </c>
      <c r="L21" s="16" t="inlineStr">
        <is>
          <t>20 danışmana mesaj yaz, 5 demo yap, ilk iki danışman için raporu elle hazırla</t>
        </is>
      </c>
      <c r="M21" s="16" t="inlineStr">
        <is>
          <t>Müşteri profili, müşteri bazlı rapor, logolu PDF, bulut hesap ve lisans; ödeme akışı</t>
        </is>
      </c>
      <c r="N21" s="16" t="inlineStr">
        <is>
          <t>E-ticaret danışmanı ve küçük ajans</t>
        </is>
      </c>
      <c r="O21" s="16" t="inlineStr">
        <is>
          <t>kurucu satışı</t>
        </is>
      </c>
      <c r="P21" s="16" t="inlineStr">
        <is>
          <t>KVKK</t>
        </is>
      </c>
    </row>
    <row r="22">
      <c r="A22" s="16" t="inlineStr">
        <is>
          <t>kar-pusulasi-c</t>
        </is>
      </c>
      <c r="B22" s="16" t="inlineStr">
        <is>
          <t>Stratejik Kâr Pusulası (e-ticaret kârlılık aracı)</t>
        </is>
      </c>
      <c r="C22" s="16" t="inlineStr">
        <is>
          <t>SKU katkı raporu (sabit fiyatlı hizmet)</t>
        </is>
      </c>
      <c r="D22" s="16" t="inlineStr">
        <is>
          <t>hizmet</t>
        </is>
      </c>
      <c r="E22" s="16" t="inlineStr">
        <is>
          <t>50-500 SKU'lu iki kanallı satıcı, e-ticaret ajansı ve onların mali müşaviri</t>
        </is>
      </c>
      <c r="F22" s="16" t="inlineStr">
        <is>
          <t>200 SKU'luk maliyet ve komisyon dosyasından hangi ürünün katkı kaybettiğini ve ilk üç fiyat deneyini öğrenmek</t>
        </is>
      </c>
      <c r="G22" s="16" t="inlineStr">
        <is>
          <t>Oran ya da tarife değişimi, kampanya sonrası zarar şüphesi, dönem sonu fiyat gözden geçirme</t>
        </is>
      </c>
      <c r="H22" s="16" t="inlineStr">
        <is>
          <t>Gönderdiğiniz dosya için açıklamalı SKU katkı raporu, eksik veri listesi ve 3 fiyat deneyi; kâr ve satış garantisi yok</t>
        </is>
      </c>
      <c r="I22" s="16" t="inlineStr">
        <is>
          <t>1.000 TL tek sefer rapor, 1.500 TL/ay üç rapor (KDV dahil sayıldı; tek sefer net 833 TL)</t>
        </is>
      </c>
      <c r="J22" s="16" t="inlineStr">
        <is>
          <t>Telegram 'E-Ticaret Türkiye' grubu ve ücretsiz tek ürün hesaplayıcı çıktısından rapor teklifi</t>
        </is>
      </c>
      <c r="K22" s="16" t="inlineStr">
        <is>
          <t>E-ticaret ajansları ve mali müşavirler; kurucunun eğitim programı katılımcıları (sayı belgesiz)</t>
        </is>
      </c>
      <c r="L22" s="16" t="inlineStr">
        <is>
          <t>20 sentetik hesap örneği ve 50 SKU'luk örnek rapor hazırla, 5 izinli dosya iste</t>
        </is>
      </c>
      <c r="M22" s="16" t="inlineStr">
        <is>
          <t>Elle teslim tek dönem raporu: 200 SKU'ya kadar, yalnız hazır şablondaki dosya (uymayan dosya kapsam dışı); katkı hesabı, eksik veri listesi ve 3 deney</t>
        </is>
      </c>
      <c r="N22" s="16" t="inlineStr">
        <is>
          <t>50-500 SKU'lu satıcı, ajans, mali müşavir</t>
        </is>
      </c>
      <c r="O22" s="16" t="inlineStr">
        <is>
          <t>kurucu satışı</t>
        </is>
      </c>
      <c r="P22" s="16" t="inlineStr">
        <is>
          <t>KVKK</t>
        </is>
      </c>
    </row>
    <row r="23">
      <c r="A23" s="16" t="inlineStr">
        <is>
          <t>titanlar-a</t>
        </is>
      </c>
      <c r="B23" s="16" t="inlineStr">
        <is>
          <t>Titanlar (e-ticaret eğitimi ve danışmanlık)</t>
        </is>
      </c>
      <c r="C23" s="16" t="inlineStr">
        <is>
          <t>Titan Programı: 10 haftalık canlı kohort</t>
        </is>
      </c>
      <c r="D23" s="16" t="inlineStr">
        <is>
          <t>hizmet</t>
        </is>
      </c>
      <c r="E23" s="16" t="inlineStr">
        <is>
          <t>E-ticarete başlayan esnaf, üretici ve kâr edemeyen küçük satıcı (şahıs işletmesi ya da 1-3 çalışanlı KOBİ)</t>
        </is>
      </c>
      <c r="F23" s="16" t="inlineStr">
        <is>
          <t>Hangi ürünü, hangi pazar yerinde, hangi fiyatla ve hangi şirket türüyle satacağına karar verip 10 haftada mağazasını ve yazılı planını kurmak</t>
        </is>
      </c>
      <c r="G23" s="16" t="inlineStr">
        <is>
          <t>Zararlı ay, komisyon ya da kargo tarifesi değişikliği, komşu esnafın pazar yerinde satışa başlaması, ücretsiz webinarda kendi ürününün hesabı</t>
        </is>
      </c>
      <c r="H23" s="16" t="inlineStr">
        <is>
          <t>20 kişilik, haftada 2 akşam 90 dakikalık canlı program: zorunlu ödev, yazılı geri bildirim, kurulmuş mağaza, 10 fiyatlanmış ürün ve 90 günlük yazılı plan</t>
        </is>
      </c>
      <c r="I23" s="16" t="inlineStr">
        <is>
          <t>5.000 ₺ + KDV (6.000 ₺ KDV dahil, 3 taksit); webinar sonrası 7 gün erken kayıt 4.500 ₺ + KDV; VIP 8.750 ₺ + KDV</t>
        </is>
      </c>
      <c r="J23" s="16" t="inlineStr">
        <is>
          <t>Kurucunun iki ücretsiz canlı webinarı (15 ve 22 Ekim), ardından 20 dakikalık tanışma görüşmesi ve ödeme bağlantısı</t>
        </is>
      </c>
      <c r="K23" s="16" t="inlineStr">
        <is>
          <t>LinkedIn mesajları, Telegram E-Ticaret Türkiye ve satıcı grupları, tanıdık üretici ağı (plan varsayımı, belgelenmedi), kâr aracı içi bağlantı</t>
        </is>
      </c>
      <c r="L23" s="16" t="inlineStr">
        <is>
          <t>Mali müşavirle fatura düzenini kurmak, sitedeki kanıtsız iddiaları kaldırmak, tek sayfa kayıt sitesini ve ödeme yolunu açmak</t>
        </is>
      </c>
      <c r="M23" s="16" t="inlineStr">
        <is>
          <t>İlk kohort: 20 oturum, 10 ödev şablonu, rubrik, katılım belgesi; kâr aracı formülü düzeltilip test edilene dek derste Excel şablonu; ders anlatımı kohort sırasında hafta hafta üretilir</t>
        </is>
      </c>
      <c r="N23" s="16" t="inlineStr">
        <is>
          <t>Kâr edemeyen satıcı, esnaf, üretici KOBİ</t>
        </is>
      </c>
      <c r="O23" s="16" t="inlineStr">
        <is>
          <t>içerik</t>
        </is>
      </c>
      <c r="P23" s="16" t="inlineStr">
        <is>
          <t>mevzuata bağlı</t>
        </is>
      </c>
    </row>
    <row r="24">
      <c r="A24" s="16" t="inlineStr">
        <is>
          <t>titanlar-b</t>
        </is>
      </c>
      <c r="B24" s="16" t="inlineStr">
        <is>
          <t>Titanlar (e-ticaret eğitimi ve danışmanlık)</t>
        </is>
      </c>
      <c r="C24" s="16" t="inlineStr">
        <is>
          <t>Kâr teşhisi: Giriş ve Strateji danışmanlığı</t>
        </is>
      </c>
      <c r="D24" s="16" t="inlineStr">
        <is>
          <t>hizmet</t>
        </is>
      </c>
      <c r="E24" s="16" t="inlineStr">
        <is>
          <t>Pazar yerlerinde satış yapan, cirosu olup kâr edemeyen küçük satıcı (şahıs işletmesi ya da 1-3 çalışanlı KOBİ sahibi)</t>
        </is>
      </c>
      <c r="F24" s="16" t="inlineStr">
        <is>
          <t>Hangi ürünlerde ve kampanyalarda zarar ettiğini bulmak, fiyat, reklam ve kampanya kurallarını yeniden kurmak</t>
        </is>
      </c>
      <c r="G24" s="16" t="inlineStr">
        <is>
          <t>Zararlı ay sonu, komisyon ya da kargo tarifesi değişikliği, webinarda kendi ürününün hesabının çıkması</t>
        </is>
      </c>
      <c r="H24" s="16" t="inlineStr">
        <is>
          <t>Giriş: 1 saat görüşme ve PDF özet. Strateji: 4 saat, 2 hafta, ürün bazlı kâr analizi, yazılı fiyat ve kampanya planı, 30 gün e-posta desteği</t>
        </is>
      </c>
      <c r="I24" s="16" t="inlineStr">
        <is>
          <t>Giriş 2.500 ₺ + KDV; Strateji 12.500 ₺ + KDV (15.000 ₺ KDV dahil)</t>
        </is>
      </c>
      <c r="J24" s="16" t="inlineStr">
        <is>
          <t>Satıcı grupları (Telegram E-Ticaret Türkiye ve WhatsApp satıcı grupları) ve kurucunun LinkedIn mesajları; ücretsiz kâr hesabı demosu</t>
        </is>
      </c>
      <c r="K24" s="16" t="inlineStr">
        <is>
          <t>Kâr aracı içi bağlantı, iki ücretsiz webinar, mali müşavir yönlendirmeleri, tanıdık üretici ağı</t>
        </is>
      </c>
      <c r="L24" s="16" t="inlineStr">
        <is>
          <t>Fatura düzenini kurmak ve gruplarda 'ürününü yaz, komisyon ve kargo sonrası ne kaldığını hesaplayayım' mesajıyla 20 satıcıya Giriş teklif etmek</t>
        </is>
      </c>
      <c r="M24" s="16" t="inlineStr">
        <is>
          <t>Giriş görüşmesi: tablo şablonu ve 5 ürünlük kâr hesabı; Strateji: ürün bazlı analiz şablonu ve yazılı plan şablonu; kâr aracı yerine tablo kullanılır</t>
        </is>
      </c>
      <c r="N24" s="16" t="inlineStr">
        <is>
          <t>Cirosu olup kâr edemeyen pazar yeri satıcısı</t>
        </is>
      </c>
      <c r="O24" s="16" t="inlineStr">
        <is>
          <t>topluluk</t>
        </is>
      </c>
      <c r="P24" s="16" t="inlineStr">
        <is>
          <t>KVKK</t>
        </is>
      </c>
    </row>
    <row r="25">
      <c r="A25" s="16" t="inlineStr">
        <is>
          <t>titanlar-c</t>
        </is>
      </c>
      <c r="B25" s="16" t="inlineStr">
        <is>
          <t>Titanlar (e-ticaret eğitimi ve danışmanlık)</t>
        </is>
      </c>
      <c r="C25" s="16" t="inlineStr">
        <is>
          <t>Kurumsal atölye: oda, belediye ve üretici KOBİ</t>
        </is>
      </c>
      <c r="D25" s="16" t="inlineStr">
        <is>
          <t>hizmet</t>
        </is>
      </c>
      <c r="E25" s="16" t="inlineStr">
        <is>
          <t>İl ticaret ve sanayi odası, esnaf odası ve belediye girişimci merkezi eğitim birimleri; ekibine çevik çalışma öğretmek isteyen üretici KOBİ</t>
        </is>
      </c>
      <c r="F25" s="16" t="inlineStr">
        <is>
          <t>Üyelerinin ya da ekibinin e-ticarete geçişini ve haftalık teslim ritmini raporlanabilir, takipli bir eğitimle başlatmak</t>
        </is>
      </c>
      <c r="G25" s="16" t="inlineStr">
        <is>
          <t>Faaliyet raporu ve bakanlık e-ticaret projesi takvimi, üyelerden gelen eğitim talebi, ücretsiz etkinliklerin takipsiz kalması</t>
        </is>
      </c>
      <c r="H25" s="16" t="inlineStr">
        <is>
          <t>1 günlük uygulamalı atölye; 2 günlük paket 60 gün mentor, katılımcı bazlı ilerleme raporu ve katılım belgesi içerir; 20-40 katılımcı</t>
        </is>
      </c>
      <c r="I25" s="16" t="inlineStr">
        <is>
          <t>1 gün 15.000 ₺ + KDV (varsayım); 2 gün ve 60 gün mentor 30.000 ₺ + KDV; teklif, sözleşme ve e-Fatura ile, 30-60 gün vade</t>
        </is>
      </c>
      <c r="J25" s="16" t="inlineStr">
        <is>
          <t>Doğrudan teklif: İstanbul ve Kayseri, Denizli, Gaziantep ticaret ve sanayi odaları ile esnaf odalarının eğitim birimleri; e-posta ve ziyaret</t>
        </is>
      </c>
      <c r="K25" s="16" t="inlineStr">
        <is>
          <t>Kurucunun LinkedIn ağında üretici KOBİ sahipleri ve ücretsiz 45 dakikalık çevik çalışma oturumu; üniversite sürekli eğitim merkezleri ile görüşme</t>
        </is>
      </c>
      <c r="L25" s="16" t="inlineStr">
        <is>
          <t>Üç odaya teklif şablonu ve örnek rapor eki göndermek; LinkedIn'de çevik çalışma oturumu duyurmak</t>
        </is>
      </c>
      <c r="M25" s="16" t="inlineStr">
        <is>
          <t>Bir günlük atölye: 12 sunumdan 4'ü (erken teslimat, sık teslimat, sürdürülebilir tempo, yansıma) ya da fiyat hesabı atölyesi; rapor şablonu 1 sayfa</t>
        </is>
      </c>
      <c r="N25" s="16" t="inlineStr">
        <is>
          <t>Oda, belediye eğitim birimi, üretici KOBİ</t>
        </is>
      </c>
      <c r="O25" s="16" t="inlineStr">
        <is>
          <t>ortak</t>
        </is>
      </c>
      <c r="P25" s="16" t="inlineStr">
        <is>
          <t>mevzuata bağlı</t>
        </is>
      </c>
    </row>
    <row r="26">
      <c r="A26" s="16" t="inlineStr">
        <is>
          <t>kurumsal-site-a</t>
        </is>
      </c>
      <c r="B26" s="16" t="inlineStr">
        <is>
          <t>Kurumsal site hizmeti (KOBİ)</t>
        </is>
      </c>
      <c r="C26" s="16" t="inlineStr">
        <is>
          <t>İhracat paketi: sabit kapsamlı 3 dilli üretici sitesi</t>
        </is>
      </c>
      <c r="D26" s="16" t="inlineStr">
        <is>
          <t>hizmet</t>
        </is>
      </c>
      <c r="E26" s="16" t="inlineStr">
        <is>
          <t>10-249 çalışanlı, ihracat yapan üretici KOBİ; Marmara OSB'lerinde; karar verici patron ve ihracat müdürü</t>
        </is>
      </c>
      <c r="F26" s="16" t="inlineStr">
        <is>
          <t>Yabancı alıcının firmayı kendi dilinde bulması, sertifika ve ürünleri görmesi, doğru bilgiyle teklif istemesi</t>
        </is>
      </c>
      <c r="G26" s="16" t="inlineStr">
        <is>
          <t>Fuar öncesi hazırlık, alıcı denetimi, kaçan bir teklif, komşu firmanın yeni sitesi</t>
        </is>
      </c>
      <c r="H26" s="16" t="inlineStr">
        <is>
          <t>TR+EN+1 dil, 18-25 sayfa, 15 iş günü, 2 revizyon, eski adres taşıma haritası, sertifika ve teklif formu; ek dil ve bakım isteğe bağlı</t>
        </is>
      </c>
      <c r="I26" s="16" t="inlineStr">
        <is>
          <t>85.000 ₺ + KDV (%50 avans, %50 yayında); ek dil 12.000 ₺, SEO ve işletme profili 7.500 ₺, bakım 2.500-9.000 ₺/ay</t>
        </is>
      </c>
      <c r="J26" s="16" t="inlineStr">
        <is>
          <t>İkitelli, Hadımköy, Çerkezköy OSB saha günleri ve OSB sanayici dernekleri; dış ticaret danışmanlarından yönlendirme</t>
        </is>
      </c>
      <c r="K26" s="16" t="inlineStr">
        <is>
          <t>Fuar katılımcı listelerinden elle derlenen kurumsal adrese ücretsiz site denetimi e-postası; ihracatçı birliği akademi seminerleri</t>
        </is>
      </c>
      <c r="L26" s="16" t="inlineStr">
        <is>
          <t>Bir sayfalık denetim raporu şablonunu hazırla; 20 üreticinin sitesini denetleyip rapor gönder; 2 OSB günü planla</t>
        </is>
      </c>
      <c r="M26" s="16" t="inlineStr">
        <is>
          <t>Mevcut kalıptan bir müşteri için TR+EN+DE site: sabit sayfa listesi, 301 haritası, teklif formu, ölçülmüş hız ve mobil test raporu</t>
        </is>
      </c>
      <c r="N26" s="16" t="inlineStr">
        <is>
          <t>Marmara OSB üretici KOBİ, ihracatçı</t>
        </is>
      </c>
      <c r="O26" s="16" t="inlineStr">
        <is>
          <t>kurucu satışı</t>
        </is>
      </c>
      <c r="P26" s="16" t="inlineStr">
        <is>
          <t>KVKK</t>
        </is>
      </c>
    </row>
    <row r="27">
      <c r="A27" s="16" t="inlineStr">
        <is>
          <t>kurumsal-site-b</t>
        </is>
      </c>
      <c r="B27" s="16" t="inlineStr">
        <is>
          <t>Kurumsal site hizmeti (KOBİ)</t>
        </is>
      </c>
      <c r="C27" s="16" t="inlineStr">
        <is>
          <t>Vitrin paketi: 2 dilli giriş sitesi (45.000 ₺)</t>
        </is>
      </c>
      <c r="D27" s="16" t="inlineStr">
        <is>
          <t>hizmet</t>
        </is>
      </c>
      <c r="E27" s="16" t="inlineStr">
        <is>
          <t>1-49 çalışanlı yeni ihracatçı ya da tek sayfalık siteyle yetinen küçük üretici; karar veren patronun kendisi</t>
        </is>
      </c>
      <c r="F27" s="16" t="inlineStr">
        <is>
          <t>Google'da ve alıcı aramasında firma adıyla çıkmak, telefonda düzgün açılan 2 dilli, iletişim formlu bir site sahibi olmak</t>
        </is>
      </c>
      <c r="G27" s="16" t="inlineStr">
        <is>
          <t>İhracata yeni başlama, alıcının web siteniz nerede sorusu, ihracatçı birliği üyeliği ya da destek başvurusu</t>
        </is>
      </c>
      <c r="H27" s="16" t="inlineStr">
        <is>
          <t>TR+EN, 8-10 sayfa, 20 görsel, iletişim ve teklif formu, 10 iş günü, 2 revizyon; üst pakete geçiş seçeneği</t>
        </is>
      </c>
      <c r="I27" s="16" t="inlineStr">
        <is>
          <t>45.000 ₺ + KDV (%50 avans); SEO ve işletme profili 7.500 ₺, ek dil 12.000 ₺, bakım isteğe bağlı 2.500 ₺/ay</t>
        </is>
      </c>
      <c r="J27" s="16" t="inlineStr">
        <is>
          <t>İhracatçı birliği akademi eğitimleri (İMMİB, İİB, AKİB) ve OSB dernekleri seminerinde 20 dakikalık canlı site denetimi</t>
        </is>
      </c>
      <c r="K27" s="16" t="inlineStr">
        <is>
          <t>Ücretsiz site denetimi formu, WhatsApp Business yanıtı ve mevcut ilişkilerin tanıtımı; danışman yönlendirmesi</t>
        </is>
      </c>
      <c r="L27" s="16" t="inlineStr">
        <is>
          <t>Denetim formunu ve rapor şablonunu yayına al; bir birlik akademisine ve bir OSB derneğine seminer önerisi gönder</t>
        </is>
      </c>
      <c r="M27" s="16" t="inlineStr">
        <is>
          <t>TR+EN, 8-10 sayfalık sabit şablon: kurumsal, ürün, belge, referans, iletişim ve teklif formu; teslimde hız ve mobil test raporu</t>
        </is>
      </c>
      <c r="N27" s="16" t="inlineStr">
        <is>
          <t>Mikro ve küçük üretici, yeni ihracatçı</t>
        </is>
      </c>
      <c r="O27" s="16" t="inlineStr">
        <is>
          <t>topluluk</t>
        </is>
      </c>
      <c r="P27" s="16" t="inlineStr">
        <is>
          <t>KVKK</t>
        </is>
      </c>
    </row>
    <row r="28">
      <c r="A28" s="16" t="inlineStr">
        <is>
          <t>kurumsal-site-c</t>
        </is>
      </c>
      <c r="B28" s="16" t="inlineStr">
        <is>
          <t>Kurumsal site hizmeti (KOBİ)</t>
        </is>
      </c>
      <c r="C28" s="16" t="inlineStr">
        <is>
          <t>Markasız Astro sanayi teması (kod satışı)</t>
        </is>
      </c>
      <c r="D28" s="16" t="inlineStr">
        <is>
          <t>kod satışı</t>
        </is>
      </c>
      <c r="E28" s="16" t="inlineStr">
        <is>
          <t>Sanayi müşterisine site yapan ajans ya da serbest geliştirici; hazır çok dilli Astro kalıbı arayan, kendi kartıyla alan kişi</t>
        </is>
      </c>
      <c r="F28" s="16" t="inlineStr">
        <is>
          <t>Çok dilli, hreflang ve JSON-LD hazır, RTL destekli bir B2B kurumsal site kalıbını sıfırdan yazmadan kullanmak</t>
        </is>
      </c>
      <c r="G28" s="16" t="inlineStr">
        <is>
          <t>Sanayi müşterisinden gelen çok dilli site işi ve kısa teslim tarihi</t>
        </is>
      </c>
      <c r="H28" s="16" t="inlineStr">
        <is>
          <t>Markasız Astro kaynak kodu, 5 dil altyapısı, B2B sayfa tipleri, TR/EN dokümantasyon; Agency paketinde sınırsız müşteri projesi</t>
        </is>
      </c>
      <c r="I28" s="16" t="inlineStr">
        <is>
          <t>Lite 49 $, Pro 99 $, Agency 149 $ (ortalama 79 $ ≈ 3.792 ₺); ödeme küresel satış aracılı hizmetle</t>
        </is>
      </c>
      <c r="J28" s="16" t="inlineStr">
        <is>
          <t>Herkese açık kaynak deposunun README sayfası ve ödeme aracısı mağazası; Astro topluluk sunucusu ve Product Hunt duyurusu</t>
        </is>
      </c>
      <c r="K28" s="16" t="inlineStr">
        <is>
          <t>Kalıp tabanlı sitelerin alt bilgi kredisi ve vaka yazıları; beyaz etiket üretim isteyen ajansa doğrudan teklif</t>
        </is>
      </c>
      <c r="L28" s="16" t="inlineStr">
        <is>
          <t>Markasız şablon deposunu ve içerikten sayfa üreten betiği bitir; ödeme aracısı hesabını aç ve test ödemesi yap</t>
        </is>
      </c>
      <c r="M28" s="16" t="inlineStr">
        <is>
          <t>Lite paket: markasız kaynak, 5 dil altyapısı, 12 sayfa tipi, dokümantasyon ve tarayıcı test betikleri; demo site</t>
        </is>
      </c>
      <c r="N28" s="16" t="inlineStr">
        <is>
          <t>Ajans ve serbest geliştirici</t>
        </is>
      </c>
      <c r="O28" s="16" t="inlineStr">
        <is>
          <t>içerik</t>
        </is>
      </c>
      <c r="P28" s="16" t="inlineStr">
        <is>
          <t>mevzuata bağlı</t>
        </is>
      </c>
    </row>
    <row r="29">
      <c r="A29" s="16" t="inlineStr">
        <is>
          <t>uretici-kobi-paketi-a</t>
        </is>
      </c>
      <c r="B29" s="16" t="inlineStr">
        <is>
          <t>Üretici KOBİ dijital başlangıç paketi</t>
        </is>
      </c>
      <c r="C29" s="16" t="inlineStr">
        <is>
          <t>Başlangıç paketi: fizibilite, vitrin site, açılış planı</t>
        </is>
      </c>
      <c r="D29" s="16" t="inlineStr">
        <is>
          <t>hizmet</t>
        </is>
      </c>
      <c r="E29" s="16" t="inlineStr">
        <is>
          <t>Tekstil, iç giyim ya da aksesuar üreten 20-100 çalışanlı KOBİ; kararı kurucu ya da patron verir; kendi markasıyla pazar yerine çıkmayı düşünüyor.</t>
        </is>
      </c>
      <c r="F29" s="16" t="inlineStr">
        <is>
          <t>Markayla online satışa çıkmadan önce hangi fiyat ve kanalda zarar etmeden satacağını bilmek, alıcıya kurumsal görünmek, açılış planını hazır almak.</t>
        </is>
      </c>
      <c r="G29" s="16" t="inlineStr">
        <is>
          <t>Fason siparişin düşmesi, pazar yerinde zarar eden sipariş, fuar öncesi marka kararı, alıcının web sitesi sorusu.</t>
        </is>
      </c>
      <c r="H29" s="16" t="inlineStr">
        <is>
          <t>Sabit kapsam: 20 rakip analizi, kanal bazlı kârlılık modeli ve simülatör, 2 dilli kurumsal site, pazar yeri açılış planı; 15 iş günü, 1 revizyon, sonuç taahhüdü yok.</t>
        </is>
      </c>
      <c r="I29" s="16" t="inlineStr">
        <is>
          <t>90.000 ₺ + KDV; %50 avans, %50 teslimde; ayrı ayrı alınırsa 100.000 ₺</t>
        </is>
      </c>
      <c r="J29" s="16" t="inlineStr">
        <is>
          <t>Kurucu satışı: iki mevcut üretici ilişkisine ve 20 hedef üreticiye kişiselleştirilmiş 1 sayfalık pazar yeri hesabı</t>
        </is>
      </c>
      <c r="K29" s="16" t="inlineStr">
        <is>
          <t>İHKİB Akademi ve MESİAD seminerleri, Texhibition ve IFCO katılımcı listeleri, mali müşavir yönlendirmesi</t>
        </is>
      </c>
      <c r="L29" s="16" t="inlineStr">
        <is>
          <t>Bu hafta iki mevcut ilişkiye Başlangıç paketi teklifi ve 30 dakikalık canlı simülatör seansı gönder</t>
        </is>
      </c>
      <c r="M29" s="16" t="inlineStr">
        <is>
          <t>Tek ürün grubu, tek müşteri: kendi maliyetiyle çalışan simülatör, 20 rakip tablosu, 2 dilli 5 sayfalık vitrin site, 30 günlük açılış kontrol listesi; lansman planı ve takip hariç.</t>
        </is>
      </c>
      <c r="N29" s="16" t="inlineStr">
        <is>
          <t>Üretici KOBİ: tekstil, iç giyim, aksesuar</t>
        </is>
      </c>
      <c r="O29" s="16" t="inlineStr">
        <is>
          <t>kurucu satışı</t>
        </is>
      </c>
      <c r="P29" s="16" t="inlineStr">
        <is>
          <t>yok</t>
        </is>
      </c>
    </row>
    <row r="30">
      <c r="A30" s="16" t="inlineStr">
        <is>
          <t>uretici-kobi-paketi-b</t>
        </is>
      </c>
      <c r="B30" s="16" t="inlineStr">
        <is>
          <t>Üretici KOBİ dijital başlangıç paketi</t>
        </is>
      </c>
      <c r="C30" s="16" t="inlineStr">
        <is>
          <t>Fizibilite paketi: rakip analizi, kârlılık modeli, simülatör</t>
        </is>
      </c>
      <c r="D30" s="16" t="inlineStr">
        <is>
          <t>hizmet</t>
        </is>
      </c>
      <c r="E30" s="16" t="inlineStr">
        <is>
          <t>Pazar yerinde zarar eden ya da çıkmaya hazırlanan üretici KOBİ; satış-pazarlama yöneticisi hazırlar, patron tek toplantıda onaylar.</t>
        </is>
      </c>
      <c r="F30" s="16" t="inlineStr">
        <is>
          <t>Pazar yerine çıkmadan ya da çıktıktan sonra 'kaça satmalıyım, hangi sepette kâr kalır' sorusuna sayıyla cevap almak ve patrona rapor sunmak.</t>
        </is>
      </c>
      <c r="G30" s="16" t="inlineStr">
        <is>
          <t>Çeyrek sonu zarar raporu, patronun 'kapatalım mı' sorusu, komisyon ya da kargo tarifesi değişikliği, destek başvurusu için iş planı ihtiyacı.</t>
        </is>
      </c>
      <c r="H30" s="16" t="inlineStr">
        <is>
          <t>5-7 iş günü: pazar büyüklüğü, 20 rakip analizi, kanal bazlı katkı marjı, başabaş sepet, 3 yıllık simülatör, 90 gün bütçesi, 15 slayt; 1 revizyon, sonuç taahhüdü yok.</t>
        </is>
      </c>
      <c r="I30" s="16" t="inlineStr">
        <is>
          <t>35.000 ₺ + KDV; keşif sonrası %50 avans iadesiz, kalan teslimde</t>
        </is>
      </c>
      <c r="J30" s="16" t="inlineStr">
        <is>
          <t>Kurucu satışı: mevcut iki üretici ilişkisi ve satış-pazarlama yöneticilerine LinkedIn üzerinden 30 dakikalık ücretsiz başabaş seansı</t>
        </is>
      </c>
      <c r="K30" s="16" t="inlineStr">
        <is>
          <t>Mali müşavir yönlendirmesi, İHKİB Akademi oturumu, ücretsiz başabaş sepet hesaplayıcısı ile e-posta toplama</t>
        </is>
      </c>
      <c r="L30" s="16" t="inlineStr">
        <is>
          <t>Kendi maliyetleriyle 3 ürünün başabaş sepetini gösteren 30 dakikalık seansı ilk 5 adaya teklif et</t>
        </is>
      </c>
      <c r="M30" s="16" t="inlineStr">
        <is>
          <t>Tek ürün grubu ve iki kanal (Trendyol, Hepsiburada): kendi maliyetiyle çalışan simülatör, 20 rakip tablosu, kanal bazlı katkı marjı, 15 slayt; site ve lansman planı hariç.</t>
        </is>
      </c>
      <c r="N30" s="16" t="inlineStr">
        <is>
          <t>Pazar yerinde satan üretici KOBİ</t>
        </is>
      </c>
      <c r="O30" s="16" t="inlineStr">
        <is>
          <t>kurucu satışı</t>
        </is>
      </c>
      <c r="P30" s="16" t="inlineStr">
        <is>
          <t>yok</t>
        </is>
      </c>
    </row>
    <row r="31">
      <c r="A31" s="16" t="inlineStr">
        <is>
          <t>uretici-kobi-paketi-c</t>
        </is>
      </c>
      <c r="B31" s="16" t="inlineStr">
        <is>
          <t>Üretici KOBİ dijital başlangıç paketi</t>
        </is>
      </c>
      <c r="C31" s="16" t="inlineStr">
        <is>
          <t>Katalog ve teklif formu sitesi (kumaş üreticisi)</t>
        </is>
      </c>
      <c r="D31" s="16" t="inlineStr">
        <is>
          <t>hizmet</t>
        </is>
      </c>
      <c r="E31" s="16" t="inlineStr">
        <is>
          <t>Kumaş üreticisi; satış ekibi kullanır, fabrika sahibi öder; ürün bilgisi, sertifika ve kapasiteyi alıcıya dağınık veriyor.</t>
        </is>
      </c>
      <c r="F31" s="16" t="inlineStr">
        <is>
          <t>Ziyaretçiyi katalog incelemesinden nitelikli numune ve teklif isteğine götürmek; teknik bilgi, sertifika ve teslim koşulunu tek yerde vermek.</t>
        </is>
      </c>
      <c r="G31" s="16" t="inlineStr">
        <is>
          <t>Fuar öncesi, alıcının web sitesi ya da teknik föy istemesi, dağınık e-posta teklifleri, fason siparişin düşmesi.</t>
        </is>
      </c>
      <c r="H31" s="16" t="inlineStr">
        <is>
          <t>Tek koleksiyon, 10 ürün için teknik özellik sayfası, numune ve teklif formu, 2 dil; kurulum ve ilk katalog güncellemesi; 3 hafta, sabit kapsam.</t>
        </is>
      </c>
      <c r="I31" s="16" t="inlineStr">
        <is>
          <t>45.000 ₺ + KDV (varsayım; ajans web bandı 150.000-450.000 ₺ altında); %50 avans; güncelleme ayrı</t>
        </is>
      </c>
      <c r="J31" s="16" t="inlineStr">
        <is>
          <t>Kurucu satışı: herkese açık kaynaklarla derlenen 20 kumaş üreticisine, sitelerinde gözlenen eksikle kişiselleştirilmiş e-posta</t>
        </is>
      </c>
      <c r="K31" s="16" t="inlineStr">
        <is>
          <t>Texhibition ve IFCO katılımcı e-postaları, İHKİB Akademi, mevcut e-posta tekliflerine katalog bağlantısı</t>
        </is>
      </c>
      <c r="L31" s="16" t="inlineStr">
        <is>
          <t>5 üreticiye eksik teknik föy bulgusunu ve örnek sayfayı içeren mini rapor gönder</t>
        </is>
      </c>
      <c r="M31" s="16" t="inlineStr">
        <is>
          <t>Tek koleksiyon, 10 ürün, tek teklif formu, 2 dilli statik site; izinli örnek ürünle hazırlanmış anonim demo; sipariş, CRM ve ödeme yok.</t>
        </is>
      </c>
      <c r="N31" s="16" t="inlineStr">
        <is>
          <t>Kumaş üreticisi (B2B)</t>
        </is>
      </c>
      <c r="O31" s="16" t="inlineStr">
        <is>
          <t>kurucu satışı</t>
        </is>
      </c>
      <c r="P31" s="16" t="inlineStr">
        <is>
          <t>KVKK</t>
        </is>
      </c>
    </row>
    <row r="32">
      <c r="A32" s="16" t="inlineStr">
        <is>
          <t>wp-nis-eklentiler-a</t>
        </is>
      </c>
      <c r="B32" s="16" t="inlineStr">
        <is>
          <t>WordPress / WooCommerce Türkiye niş eklenti hattı</t>
        </is>
      </c>
      <c r="C32" s="16" t="inlineStr">
        <is>
          <t>KVKK Lite Pro: ajans lisansı</t>
        </is>
      </c>
      <c r="D32" s="16" t="inlineStr">
        <is>
          <t>eklenti</t>
        </is>
      </c>
      <c r="E32" s="16" t="inlineStr">
        <is>
          <t>Yılda 15-25 site kuran WordPress ajansı ve freelancer; karar ve ödemeyi kendisi verir</t>
        </is>
      </c>
      <c r="F32" s="16" t="inlineStr">
        <is>
          <t>Her müşteri sitesinde aydınlatma metni, rıza kaydı ve başvuru formunu elle tekrar kurmak; müşteriye kayıt gösterebilmek</t>
        </is>
      </c>
      <c r="G32" s="16" t="inlineStr">
        <is>
          <t>Müşterinin KVKK ceza haberi sorusu; bir sitede kanıtsız rıza ya da kaybolan veri sahibi başvurusu</t>
        </is>
      </c>
      <c r="H32" s="16" t="inlineStr">
        <is>
          <t>KVKK Lite Pro: sınırsız site, metin üreteci, rıza kaydı, 30 gün sayaçlı başvuru panosu, CSV; 14 gün iade</t>
        </is>
      </c>
      <c r="I32" s="16" t="inlineStr">
        <is>
          <t>Ajans lisansı yıllık ₺9.990; ilk 10 ajansa ilk yıl ₺4.990; tek site Pro ₺1.990 (KDV hariç)</t>
        </is>
      </c>
      <c r="J32" s="16" t="inlineStr">
        <is>
          <t>Kurucu satışı: R10.net WordPress bölümü, WordPress Türkiye Slack ve WordPress Istanbul Meetup'ta ajans görüşmeleri</t>
        </is>
      </c>
      <c r="K32" s="16" t="inlineStr">
        <is>
          <t>wordpress.org ücretsiz sürüm listesi ve Türkçe rehber yazıları; hosting bayi blogları</t>
        </is>
      </c>
      <c r="L32" s="16" t="inlineStr">
        <is>
          <t>Bu hafta 15 ajans adayını adlandır, 10 görüşme ve 15 dakikalık demo için randevu al</t>
        </is>
      </c>
      <c r="M32" s="16" t="inlineStr">
        <is>
          <t>KVKK Lite ücretsiz çekirdek (metin, 1 form rıza kaydı, başvuru formu, çerez bandı, CSV) ve Pro: sınırsız form, başvuru panosu; Freemius lisansı</t>
        </is>
      </c>
      <c r="N32" s="16" t="inlineStr">
        <is>
          <t>WordPress ajansı ve freelancer</t>
        </is>
      </c>
      <c r="O32" s="16" t="inlineStr">
        <is>
          <t>kurucu satışı</t>
        </is>
      </c>
      <c r="P32" s="16" t="inlineStr">
        <is>
          <t>KVKK</t>
        </is>
      </c>
    </row>
    <row r="33">
      <c r="A33" s="16" t="inlineStr">
        <is>
          <t>wp-nis-eklentiler-b</t>
        </is>
      </c>
      <c r="B33" s="16" t="inlineStr">
        <is>
          <t>WordPress / WooCommerce Türkiye niş eklenti hattı</t>
        </is>
      </c>
      <c r="C33" s="16" t="inlineStr">
        <is>
          <t>Taksit Tablosu ve Kapıda Ödeme Pro: tek mağaza</t>
        </is>
      </c>
      <c r="D33" s="16" t="inlineStr">
        <is>
          <t>eklenti</t>
        </is>
      </c>
      <c r="E33" s="16" t="inlineStr">
        <is>
          <t>Kendi WooCommerce sitesini işleten tek kişilik ya da küçük mağaza sahibi; iyzico, PayTR gibi PSP kullanır</t>
        </is>
      </c>
      <c r="F33" s="16" t="inlineStr">
        <is>
          <t>Ürün sayfasında doğru taksit tablosunu göstermek; kapıda ödemeyi il, ilçe ve sepet tutarına göre kapatıp ek ücret almak</t>
        </is>
      </c>
      <c r="G33" s="16" t="inlineStr">
        <is>
          <t>Sepet terki ya da teslim edilemeyen kapıda ödeme gönderisi; WooCommerce güncellemesinde PSP tablosunun bozulması</t>
        </is>
      </c>
      <c r="H33" s="16" t="inlineStr">
        <is>
          <t>Pro: PSP oran API'si, kategori bazlı taksit sınırı, kapıda ödeme kuralları ve ek ücret; ücretsiz elle oran tablosu</t>
        </is>
      </c>
      <c r="I33" s="16" t="inlineStr">
        <is>
          <t>Tek site Pro yıllık ₺1.490; 5 site ₺2.990 (KDV hariç); ücretsiz sürüm sınırsız</t>
        </is>
      </c>
      <c r="J33" s="16" t="inlineStr">
        <is>
          <t>Arama ve wordpress.org: 'woocommerce taksit tablosu' sorgusu, Türkçe liste ve rehber yazıları</t>
        </is>
      </c>
      <c r="K33" s="16" t="inlineStr">
        <is>
          <t>Trendyol satıcı Facebook ve WhatsApp grupları; R10.net WooCommerce bölümü</t>
        </is>
      </c>
      <c r="L33" s="16" t="inlineStr">
        <is>
          <t>Taksit ücretsiz çekirdeğini yaz; 10 mağaza sahibine kapıda ödeme kuralı için ücretli ön kayıt teklif et</t>
        </is>
      </c>
      <c r="M33" s="16" t="inlineStr">
        <is>
          <t>Ücretsiz: 8 kart ailesi elle oran tablosu, ürün sekmesi, varyasyon güncellemesi; Pro: kapıda ödeme kuralları ve iyzico/PayTR oran modülü</t>
        </is>
      </c>
      <c r="N33" s="16" t="inlineStr">
        <is>
          <t>WooCommerce mağaza sahibi</t>
        </is>
      </c>
      <c r="O33" s="16" t="inlineStr">
        <is>
          <t>arama</t>
        </is>
      </c>
      <c r="P33" s="16" t="inlineStr">
        <is>
          <t>mevzuata bağlı</t>
        </is>
      </c>
    </row>
    <row r="34">
      <c r="A34" s="16" t="inlineStr">
        <is>
          <t>wp-nis-eklentiler-c</t>
        </is>
      </c>
      <c r="B34" s="16" t="inlineStr">
        <is>
          <t>WordPress / WooCommerce Türkiye niş eklenti hattı</t>
        </is>
      </c>
      <c r="C34" s="16" t="inlineStr">
        <is>
          <t>Türkiye uyum kurulumu: sabit fiyatlı hizmet</t>
        </is>
      </c>
      <c r="D34" s="16" t="inlineStr">
        <is>
          <t>hizmet</t>
        </is>
      </c>
      <c r="E34" s="16" t="inlineStr">
        <is>
          <t>Kendi WooCommerce ya da kurumsal WordPress sitesi olan işletme ve onu kuran ajans; hazır kurulum satın alır</t>
        </is>
      </c>
      <c r="F34" s="16" t="inlineStr">
        <is>
          <t>Sitede KVKK aydınlatma metni, rıza kutusu, başvuru formu, çerez bandı ve taksit ile kapıda ödeme ayarlarını doğru kurdurmak</t>
        </is>
      </c>
      <c r="G34" s="16" t="inlineStr">
        <is>
          <t>KVKK ceza haberi; ajansın müşteriye uyum kalemi sunması; Trendyol'dan kendi siteye geçiş</t>
        </is>
      </c>
      <c r="H34" s="16" t="inlineStr">
        <is>
          <t>Tek site için sabit kapsamlı kurulum: 5 iş gününde teslim, 1 revizyon turu, kayıt dışa aktarma; hukuki görüş yok</t>
        </is>
      </c>
      <c r="I34" s="16" t="inlineStr">
        <is>
          <t>Site başına ₺2.500 (KDV hariç); ajanslara 5 site paketi ₺10.000</t>
        </is>
      </c>
      <c r="J34" s="16" t="inlineStr">
        <is>
          <t>Mevcut ilişki ve kurucu satışı: çevredeki müşteri siteleri, ajans çevresi, R10.net Ücretli WordPress İşleri</t>
        </is>
      </c>
      <c r="K34" s="16" t="inlineStr">
        <is>
          <t>Bionluk hizmet ilanı ve WordPress Türkiye Slack; Trendyol satıcı grupları</t>
        </is>
      </c>
      <c r="L34" s="16" t="inlineStr">
        <is>
          <t>Kapsam listesi ve fiyat sayfasını yaz; 10 kişiye bu hafta teklif gönder</t>
        </is>
      </c>
      <c r="M34" s="16" t="inlineStr">
        <is>
          <t>1 WooCommerce sitesi: aydınlatma metni sayfası, rıza kaydı, başvuru formu, çerez bandı, taksit tablosu, kapıda ödeme kuralı; mevcut ücretsiz araçlarla</t>
        </is>
      </c>
      <c r="N34" s="16" t="inlineStr">
        <is>
          <t>WooCommerce işletme ve ajans</t>
        </is>
      </c>
      <c r="O34" s="16" t="inlineStr">
        <is>
          <t>mevcut müşteri</t>
        </is>
      </c>
      <c r="P34" s="16" t="inlineStr">
        <is>
          <t>KVKK</t>
        </is>
      </c>
    </row>
    <row r="35">
      <c r="A35" s="16" t="inlineStr">
        <is>
          <t>qral-a</t>
        </is>
      </c>
      <c r="B35" s="16" t="inlineStr">
        <is>
          <t>qral (hızlı başvuru bağlantıları Chrome uzantısı)</t>
        </is>
      </c>
      <c r="C35" s="16" t="inlineStr">
        <is>
          <t>Pro lisansı: bilgi çalışanı ve yapay zekâ kullanıcısı</t>
        </is>
      </c>
      <c r="D35" s="16" t="inlineStr">
        <is>
          <t>eklenti</t>
        </is>
      </c>
      <c r="E35" s="16" t="inlineStr">
        <is>
          <t>Not alan bilgi çalışanı ve yapay zekâ sohbetine kaynak yapıştıran bireysel kullanıcı</t>
        </is>
      </c>
      <c r="F35" s="16" t="inlineStr">
        <is>
          <t>Açık sayfayı başlık, adres, tarih ve seçili alıntıyla not ve yapay zekâ sohbetine doğru biçimde taşımak</t>
        </is>
      </c>
      <c r="G35" s="16" t="inlineStr">
        <is>
          <t>Günde 10-20 kez bağlantı yapıştırma alışkanlığı; belirli bir tarih ya da zorunluluk yok</t>
        </is>
      </c>
      <c r="H35" s="16" t="inlineStr">
        <is>
          <t>Ücretsiz çekirdek; Pro ömür boyu: kaynak bloğu şablonu, sınırsız şablon, 500 geçmiş, toplu QR, QR logo ve renk</t>
        </is>
      </c>
      <c r="I35" s="16" t="inlineStr">
        <is>
          <t>4,99 euro (yaklaşık 249 TL) tek seferlik; ödeme sağlayıcı kesintisi sonrası net yaklaşık 226 TL</t>
        </is>
      </c>
      <c r="J35" s="16" t="inlineStr">
        <is>
          <t>Chrome Web Store listesi (copy link as markdown aramaları); ek olarak Edge Add-ons ve Firefox AMO</t>
        </is>
      </c>
      <c r="K35" s="16" t="inlineStr">
        <is>
          <t>Obsidian forumu ve Discord, r/ObsidianMD, Product Hunt lansmanı, açık kaynak GitHub deposu</t>
        </is>
      </c>
      <c r="L35" s="16" t="inlineStr">
        <is>
          <t>Yayın öncesi temizliği bitirip ücretsiz sürümü Chrome Web Store'a göndermek</t>
        </is>
      </c>
      <c r="M35" s="16" t="inlineStr">
        <is>
          <t>Ücretsiz sürüm yayında; Pro ödeme ve lisans anahtarı akışı canlı; en az kaynak bloğu, sınırsız şablon ve 500 geçmiş açılmış</t>
        </is>
      </c>
      <c r="N35" s="16" t="inlineStr">
        <is>
          <t>Bilgi çalışanı, yapay zekâ kullanıcısı</t>
        </is>
      </c>
      <c r="O35" s="16" t="inlineStr">
        <is>
          <t>pazar yeri</t>
        </is>
      </c>
      <c r="P35" s="16" t="inlineStr">
        <is>
          <t>yok</t>
        </is>
      </c>
    </row>
    <row r="36">
      <c r="A36" s="16" t="inlineStr">
        <is>
          <t>qral-b</t>
        </is>
      </c>
      <c r="B36" s="16" t="inlineStr">
        <is>
          <t>qral (hızlı başvuru bağlantıları Chrome uzantısı)</t>
        </is>
      </c>
      <c r="C36" s="16" t="inlineStr">
        <is>
          <t>Sınıf Paketi: öğretmen ve okul için QR sayfası</t>
        </is>
      </c>
      <c r="D36" s="16" t="inlineStr">
        <is>
          <t>eklenti</t>
        </is>
      </c>
      <c r="E36" s="16" t="inlineStr">
        <is>
          <t>Ortaokul ve lise öğretmeni; zümre ya da okul bütçesinden 10+ koltuk alabilen okul ve kurslar</t>
        </is>
      </c>
      <c r="F36" s="16" t="inlineStr">
        <is>
          <t>Ders bağlantılarını numaralı, yazdırılabilir A4 QR sayfasına ve bağlantı listesine hızla dönüştürmek</t>
        </is>
      </c>
      <c r="G36" s="16" t="inlineStr">
        <is>
          <t>Dönem başı (eylül, şubat) materyal hazırlığı; haftada 3 QR'lı etkinlik</t>
        </is>
      </c>
      <c r="H36" s="16" t="inlineStr">
        <is>
          <t>Pro özellikleri, 30 öğrenci QR sayfası, ders bağlantı listesi dışa aktarma, 2 cihaz; ilk öğretmenlere ilk yıl ücretsiz</t>
        </is>
      </c>
      <c r="I36" s="16" t="inlineStr">
        <is>
          <t>14,99 euro yıllık (yaklaşık 835 TL); sağlayıcı kesintisi sonrası net yaklaşık 727 TL</t>
        </is>
      </c>
      <c r="J36" s="16" t="inlineStr">
        <is>
          <t>Türkiye eğitim toplulukları: eTwinning grupları, Öğretmenler Odası ve Öğretmenler Sitesi sayfaları, eBabil ve Eğiteknoloji blogları</t>
        </is>
      </c>
      <c r="K36" s="16" t="inlineStr">
        <is>
          <t>r/Teachers ve İngilizce Sınıf QR rehberi, YouTube Shorts, Chrome Web Store listesi</t>
        </is>
      </c>
      <c r="L36" s="16" t="inlineStr">
        <is>
          <t>Sınıf QR sayfasını yapıp 5 öğretmene ücretsiz verilip geri bildirim ve vaka yazısı almak</t>
        </is>
      </c>
      <c r="M36" s="16" t="inlineStr">
        <is>
          <t>Pro ve sınıf QR sayfası (A4, 1-30 bağlantı, numaralı, yazdır ve PDF) çalışır; ödeme ve lisans canlı; Türkçe rehber</t>
        </is>
      </c>
      <c r="N36" s="16" t="inlineStr">
        <is>
          <t>Öğretmen, okul ve kurs</t>
        </is>
      </c>
      <c r="O36" s="16" t="inlineStr">
        <is>
          <t>topluluk</t>
        </is>
      </c>
      <c r="P36" s="16" t="inlineStr">
        <is>
          <t>yok</t>
        </is>
      </c>
    </row>
    <row r="37">
      <c r="A37" s="16" t="inlineStr">
        <is>
          <t>qral-c</t>
        </is>
      </c>
      <c r="B37" s="16" t="inlineStr">
        <is>
          <t>qral (hızlı başvuru bağlantıları Chrome uzantısı)</t>
        </is>
      </c>
      <c r="C37" s="16" t="inlineStr">
        <is>
          <t>Araştırma ekibi için kaynak dışa aktarma şablon paketi</t>
        </is>
      </c>
      <c r="D37" s="16" t="inlineStr">
        <is>
          <t>hizmet</t>
        </is>
      </c>
      <c r="E37" s="16" t="inlineStr">
        <is>
          <t>Haftalık araştırma yapan teknik danışman ve analist; küçük araştırma ekibinin lideri ve alıntıyı denetleyen editör</t>
        </is>
      </c>
      <c r="F37" s="16" t="inlineStr">
        <is>
          <t>Rapora girecek sayfayı başlık, adres, erişim tarihi ve alıntıyla bozulmadan, ekibin kendi formatında kaydetmek</t>
        </is>
      </c>
      <c r="G37" s="16" t="inlineStr">
        <is>
          <t>Rapor teslimi; izlenme parametreli adres, kayıp erişim tarihi ve tekrar biçimlendirme</t>
        </is>
      </c>
      <c r="H37" s="16" t="inlineStr">
        <is>
          <t>Sabit kapsamlı paket: ekibin formatında şablon seti, 3 siteli doğrulama, kurulum ve bir ay destek; kullanıcı onaylı alıntı</t>
        </is>
      </c>
      <c r="I37" s="16" t="inlineStr">
        <is>
          <t>1.000 TL tek takım için sabit fiyat (plan aralığı 500-1.500 TL); sonraki takımlarda ekip lisansı</t>
        </is>
      </c>
      <c r="J37" s="16" t="inlineStr">
        <is>
          <t>Kurucunun mevcut ilişkileri: kendi ürün ekibi ve ajans çevresi; araştırma yapan danışmanlara doğrudan teklif</t>
        </is>
      </c>
      <c r="K37" s="16" t="inlineStr">
        <is>
          <t>GitHub Markdown tarifi, Chrome Web Store kaynak dışa aktarma açıklaması, danışmanın meslektaşına şablon paylaşması</t>
        </is>
      </c>
      <c r="L37" s="16" t="inlineStr">
        <is>
          <t>Bir araştırma ekibinden eski ve yeni dışa aktarma süresini ölçmek için 5 analistle kısa deney</t>
        </is>
      </c>
      <c r="M37" s="16" t="inlineStr">
        <is>
          <t>Ücretsiz üç siteli kaynak dışa aktarma örneği, başlık/adres/erişim tarihi ve alıntı önizlemesi; ekip şablonu elle kurulur. Canlı ürün ve 500-1.500 TL fiyat doğrulanmadı, ilk takım teklifiyle sınanır.</t>
        </is>
      </c>
      <c r="N37" s="16" t="inlineStr">
        <is>
          <t>Araştırma ekibi, danışman, analist</t>
        </is>
      </c>
      <c r="O37" s="16" t="inlineStr">
        <is>
          <t>kurucu satışı</t>
        </is>
      </c>
      <c r="P37" s="16" t="inlineStr">
        <is>
          <t>yok</t>
        </is>
      </c>
    </row>
    <row r="38">
      <c r="A38" s="16" t="inlineStr">
        <is>
          <t>frontend-atlasi-a</t>
        </is>
      </c>
      <c r="B38" s="16" t="inlineStr">
        <is>
          <t>Frontend Atlası (eğitim içeriği)</t>
        </is>
      </c>
      <c r="C38" s="16" t="inlineStr">
        <is>
          <t>Eğitmen lisansı ve AI ile Eğitim Sitesi Kiti</t>
        </is>
      </c>
      <c r="D38" s="16" t="inlineStr">
        <is>
          <t>içerik</t>
        </is>
      </c>
      <c r="E38" s="16" t="inlineStr">
        <is>
          <t>Türkçe frontend kursu veren eğitmen, bootcamp ve kurs üreticisi (kendi müfredat sitesi olmayan)</t>
        </is>
      </c>
      <c r="F38" s="16" t="inlineStr">
        <is>
          <t>Kendi markasıyla, ders sözleşmesine uygun ve laboratuvarlı bir müfredat sitesini 2-3 haftada üretmek</t>
        </is>
      </c>
      <c r="G38" s="16" t="inlineStr">
        <is>
          <t>Yeni dönem müfredatının Notion ve belgelerde elle yeniden yazılması; öğrencilere canlı laboratuvar verme isteği</t>
        </is>
      </c>
      <c r="H38" s="16" t="inlineStr">
        <is>
          <t>Kit (prompt seti, sözleşme, şablon, kılavuz, video) ve eğitmen lisansı: öğrencilere kullanım, kendi alan adında yayın, 90 gün e-posta desteği</t>
        </is>
      </c>
      <c r="I38" s="16" t="inlineStr">
        <is>
          <t>Kit 899 ₺, eğitmen lisansı 2.990 ₺ (KDV dahil); ilk 10 eğitmene kurucu fiyatı 1.990 ₺; 14 gün iade</t>
        </is>
      </c>
      <c r="J38" s="16" t="inlineStr">
        <is>
          <t>Udemy ve YouTube'da Türkçe frontend kursu olan 30 eğitmene LinkedIn bağlantısı ve yanıt sonrası e-posta; canlı site ve 20 dakikalık demo</t>
        </is>
      </c>
      <c r="K38" s="16" t="inlineStr">
        <is>
          <t>Kodluyoruz ve Türkiye Yazılımcılar Topluluğu Discord sunucuları, GitHub Türkçe kaynak listeleri, kurucunun mevcut eğitim programı ilişkileri</t>
        </is>
      </c>
      <c r="L38" s="16" t="inlineStr">
        <is>
          <t>Hedef eğitmen listesini (30 kişi) çıkarmak, siteyi yayına almak ve satış sayfası ile ödeme yolunu kurmak</t>
        </is>
      </c>
      <c r="M38" s="16" t="inlineStr">
        <is>
          <t>Mevcut siteden türeyen kit v1 (ZIP, uyarlama kılavuzu, 60 dakikalık ekran kaydı) ve sabit kapsamlı lisans metni; 20 ders dış doğrulamalı</t>
        </is>
      </c>
      <c r="N38" s="16" t="inlineStr">
        <is>
          <t>Frontend eğitmeni, bootcamp, kurs üreticisi</t>
        </is>
      </c>
      <c r="O38" s="16" t="inlineStr">
        <is>
          <t>kurucu satışı</t>
        </is>
      </c>
      <c r="P38" s="16" t="inlineStr">
        <is>
          <t>KVKK</t>
        </is>
      </c>
    </row>
    <row r="39">
      <c r="A39" s="16" t="inlineStr">
        <is>
          <t>frontend-atlasi-b</t>
        </is>
      </c>
      <c r="B39" s="16" t="inlineStr">
        <is>
          <t>Frontend Atlası (eğitim içeriği)</t>
        </is>
      </c>
      <c r="C39" s="16" t="inlineStr">
        <is>
          <t>Laboratuvar alıştırma paketi (öğrenenlere, arama ile)</t>
        </is>
      </c>
      <c r="D39" s="16" t="inlineStr">
        <is>
          <t>içerik</t>
        </is>
      </c>
      <c r="E39" s="16" t="inlineStr">
        <is>
          <t>Frontend öğrenen: kariyer değiştiren, öğrenci, junior; portföy için çalışan laboratuvar arayan</t>
        </is>
      </c>
      <c r="F39" s="16" t="inlineStr">
        <is>
          <t>Mülakat ve portföy için 24 laboratuvarı görev, çözüm ve kabul ölçütüyle çalışıp kanıt üretmek</t>
        </is>
      </c>
      <c r="G39" s="16" t="inlineStr">
        <is>
          <t>Bir bileşeni ne zaman seçeceğini aratması; iş başvurusu ve mülakat öncesi portföy ihtiyacı</t>
        </is>
      </c>
      <c r="H39" s="16" t="inlineStr">
        <is>
          <t>24 laboratuvar görevi, çözümü, kabul ölçütü ve portföy şablonu; ders sayfalarından ve videolardan satın alınır</t>
        </is>
      </c>
      <c r="I39" s="16" t="inlineStr">
        <is>
          <t>349 ₺ (KDV dahil), 9 $ yurt dışı; bireysel kit 899 ₺; 14 gün iade</t>
        </is>
      </c>
      <c r="J39" s="16" t="inlineStr">
        <is>
          <t>Google aramasında 160 ders ve 24 laboratuvar sayfası; ders altı paket kutusu; Shopier satış sayfası</t>
        </is>
      </c>
      <c r="K39" s="16" t="inlineStr">
        <is>
          <t>YouTube laboratuvar videoları, Kodluyoruz ve Türkiye Yazılımcılar Topluluğu Discord, LinkedIn, GitHub Türkçe kaynak listeleri</t>
        </is>
      </c>
      <c r="L39" s="16" t="inlineStr">
        <is>
          <t>Siteyi yayına almak, Search Console'u doğrulamak, Shopier satış sayfasını ve ödemeyi kurmak</t>
        </is>
      </c>
      <c r="M39" s="16" t="inlineStr">
        <is>
          <t>24 görev, çözüm ve kabul ölçütü (MD/PDF) ile satış sayfası; ders altı kutular; ilk 20 ders dış doğrulamalı</t>
        </is>
      </c>
      <c r="N39" s="16" t="inlineStr">
        <is>
          <t>Kariyer değiştiren ve junior frontend öğrenen</t>
        </is>
      </c>
      <c r="O39" s="16" t="inlineStr">
        <is>
          <t>içerik</t>
        </is>
      </c>
      <c r="P39" s="16" t="inlineStr">
        <is>
          <t>KVKK</t>
        </is>
      </c>
    </row>
    <row r="40">
      <c r="A40" s="16" t="inlineStr">
        <is>
          <t>frontend-atlasi-c</t>
        </is>
      </c>
      <c r="B40" s="16" t="inlineStr">
        <is>
          <t>Frontend Atlası (eğitim içeriği)</t>
        </is>
      </c>
      <c r="C40" s="16" t="inlineStr">
        <is>
          <t>Eğitmene sabit kapsamlı ders ve laboratuvar üretimi</t>
        </is>
      </c>
      <c r="D40" s="16" t="inlineStr">
        <is>
          <t>hizmet</t>
        </is>
      </c>
      <c r="E40" s="16" t="inlineStr">
        <is>
          <t>Frontend eğitmeni ya da ajans prompt sahibi; kendi dersini kaynaklı, laboratuvarlı ve değerlendirmeli yayına alamıyor</t>
        </is>
      </c>
      <c r="F40" s="16" t="inlineStr">
        <is>
          <t>Tek bir ders, bir laboratuvar ve kabul ölçütlü değerlendirmeyi tutarlı, kaynaklı ve yayına hazır üretmek</t>
        </is>
      </c>
      <c r="G40" s="16" t="inlineStr">
        <is>
          <t>Yeni kurs ya da modül tarihi; promptlardan tutarlı ders ve laboratuvar çıkaramama</t>
        </is>
      </c>
      <c r="H40" s="16" t="inlineStr">
        <is>
          <t>Eğitmenin konusu için kaynaklı bir ders, bir laboratuvar ve değerlendirme; kabul ölçütüne göre teslim, tek revizyon turu</t>
        </is>
      </c>
      <c r="I40" s="16" t="inlineStr">
        <is>
          <t>4.800 ₺ (KDV dahil), havale ve e-Arşiv; kabule bağlı; kapsam dışı istek ayrı teklif</t>
        </is>
      </c>
      <c r="J40" s="16" t="inlineStr">
        <is>
          <t>Udemy ve YouTube'da Türkçe frontend kursu olan eğitmenlere LinkedIn ve yanıt sonrası e-posta; canlı site örnek ders</t>
        </is>
      </c>
      <c r="K40" s="16" t="inlineStr">
        <is>
          <t>Kodluyoruz ve Türkiye Yazılımcılar Topluluğu Discord, kurucunun mevcut eğitim programı ilişkileri, GitHub</t>
        </is>
      </c>
      <c r="L40" s="16" t="inlineStr">
        <is>
          <t>Anonim bir örnek ders ve laboratuvar çıktısı hazırlamak; tek sayfalık kapsam ve kabul sözleşmesi yazmak</t>
        </is>
      </c>
      <c r="M40" s="16" t="inlineStr">
        <is>
          <t>Bir ders, bir laboratuvar, 5 maddelik kabul ölçütü ve kaynak tablosu; tek revizyon; 10 iş günü teslim</t>
        </is>
      </c>
      <c r="N40" s="16" t="inlineStr">
        <is>
          <t>Frontend eğitmeni, ajans prompt sahibi</t>
        </is>
      </c>
      <c r="O40" s="16" t="inlineStr">
        <is>
          <t>kurucu satışı</t>
        </is>
      </c>
      <c r="P40" s="16" t="inlineStr">
        <is>
          <t>KVKK</t>
        </is>
      </c>
    </row>
    <row r="41">
      <c r="A41" s="16" t="inlineStr">
        <is>
          <t>karar-kitabi-a</t>
        </is>
      </c>
      <c r="B41" s="16" t="inlineStr">
        <is>
          <t>Karar Kitabı / Yöntem Atlası</t>
        </is>
      </c>
      <c r="C41" s="16" t="inlineStr">
        <is>
          <t>Yarım günlük kurumsal karar atölyesi</t>
        </is>
      </c>
      <c r="D41" s="16" t="inlineStr">
        <is>
          <t>hizmet</t>
        </is>
      </c>
      <c r="E41" s="16" t="inlineStr">
        <is>
          <t>50-250 çalışanlı üretici KOBİ'lerin yönetim ekibi (sahip, İK/eğitim, operasyon yöneticisi); kurucunun mevcut ilişkileri</t>
        </is>
      </c>
      <c r="F41" s="16" t="inlineStr">
        <is>
          <t>Şirketin iki gerçek kararını (tedarikçi seçimi, tekrarlayan iade gibi) yöntemle ele alıp gerekçeli sonuca bağlamak</t>
        </is>
      </c>
      <c r="G41" s="16" t="inlineStr">
        <is>
          <t>Yıllık eğitim planındaki karar verme başlığı; tekrarlayan kalite ya da teslimat sorunu; teklif karşılaştırma dönemi</t>
        </is>
      </c>
      <c r="H41" s="16" t="inlineStr">
        <is>
          <t>Ön çalışma (1 saat), yarım gün atölye (10 yöntem, 2 gerçek karar), 30 gün karar günlüğü takibi; doldurulmuş kâğıtlar teslim edilir</t>
        </is>
      </c>
      <c r="I41" s="16" t="inlineStr">
        <is>
          <t>19.900 TL + KDV; ilk iki pilot müşteriye 9.900 TL + KDV (referans karşılığı); %50 avans</t>
        </is>
      </c>
      <c r="J41" s="16" t="inlineStr">
        <is>
          <t>Kurucunun mevcut müşteri ve üretici ilişkileri; 6 şirkete tekil pilot teklif e-postası</t>
        </is>
      </c>
      <c r="K41" s="16" t="inlineStr">
        <is>
          <t>İnsan kaynakları dernekleri etkinliği (PERYÖN şubeleri), OSB ve oda eğitim komisyonları, LinkedIn yazıları</t>
        </is>
      </c>
      <c r="L41" s="16" t="inlineStr">
        <is>
          <t>Hak teyidi kapısı kapanınca 6 şirkete kişisel pilot teklifi gönder; 45 dakikalık ücretsiz ön oturum iste</t>
        </is>
      </c>
      <c r="M41" s="16" t="inlineStr">
        <is>
          <t>Yöntem başına tek sayfa kâğıt (10 adet), 2 sayfa karar brifi şablonu, atölye sunumu, karar günlüğü kayıt şablonu (elektronik tablo); yazılım yok</t>
        </is>
      </c>
      <c r="N41" s="16" t="inlineStr">
        <is>
          <t>Üretici KOBİ yönetim ekipleri</t>
        </is>
      </c>
      <c r="O41" s="16" t="inlineStr">
        <is>
          <t>mevcut müşteri</t>
        </is>
      </c>
      <c r="P41" s="16" t="inlineStr">
        <is>
          <t>mevzuata bağlı</t>
        </is>
      </c>
    </row>
    <row r="42">
      <c r="A42" s="16" t="inlineStr">
        <is>
          <t>karar-kitabi-b</t>
        </is>
      </c>
      <c r="B42" s="16" t="inlineStr">
        <is>
          <t>Karar Kitabı / Yöntem Atlası</t>
        </is>
      </c>
      <c r="C42" s="16" t="inlineStr">
        <is>
          <t>Tema çalışma kâğıdı paketleri ve tam set</t>
        </is>
      </c>
      <c r="D42" s="16" t="inlineStr">
        <is>
          <t>içerik</t>
        </is>
      </c>
      <c r="E42" s="16" t="inlineStr">
        <is>
          <t>KOBİ sahibi, ekip lideri ve orta kademe yönetici; ikincil olarak işletme eğitmeni (lisans)</t>
        </is>
      </c>
      <c r="F42" s="16" t="inlineStr">
        <is>
          <t>Karar yöntemini Türkçe, Türkiye örneğiyle öğrenip doldurulabilir kâğıtla işe uygulamak</t>
        </is>
      </c>
      <c r="G42" s="16" t="inlineStr">
        <is>
          <t>Önceliklendirme, teklif karşılaştırma ya da tekrarlayan sorun anı; yöntem adıyla arama</t>
        </is>
      </c>
      <c r="H42" s="16" t="inlineStr">
        <is>
          <t>Ücretsiz yöntem sitesi; ücretli tema paketi (PDF form, tablo/Notion sürümü, örnek vaka, video); tam set ve eğitmen lisansı</t>
        </is>
      </c>
      <c r="I42" s="16" t="inlineStr">
        <is>
          <t>Tema paketi 199 TL, tam set 799 TL, eğitmen lisansı 2.990 TL (KDV dahil)</t>
        </is>
      </c>
      <c r="J42" s="16" t="inlineStr">
        <is>
          <t>Yöntem adı aramaları için yaklaşık 380 sayfa (Pagefind aramalı, Astro statik site)</t>
        </is>
      </c>
      <c r="K42" s="16" t="inlineStr">
        <is>
          <t>LinkedIn haftalık yazı, kurucunun diğer ürünlerinden çapraz bağlantı, e-posta bülteni</t>
        </is>
      </c>
      <c r="L42" s="16" t="inlineStr">
        <is>
          <t>Adı değiştir, kaynak envanterini çıkar, kaynak envanterini çıkar; ilk 3 tema paketini Shopier'de aç</t>
        </is>
      </c>
      <c r="M42" s="16" t="inlineStr">
        <is>
          <t>hak teyidi, 3 tema paketi (teklif karşılaştırma, kök neden, önceliklendirme), satış sayfası, Shopier ve e-Arşiv; 12 tema sonra</t>
        </is>
      </c>
      <c r="N42" s="16" t="inlineStr">
        <is>
          <t>KOBİ yöneticileri, eğitmenler</t>
        </is>
      </c>
      <c r="O42" s="16" t="inlineStr">
        <is>
          <t>arama</t>
        </is>
      </c>
      <c r="P42" s="16" t="inlineStr">
        <is>
          <t>mevzuata bağlı</t>
        </is>
      </c>
    </row>
    <row r="43">
      <c r="A43" s="16" t="inlineStr">
        <is>
          <t>karar-kitabi-c</t>
        </is>
      </c>
      <c r="B43" s="16" t="inlineStr">
        <is>
          <t>Karar Kitabı / Yöntem Atlası</t>
        </is>
      </c>
      <c r="C43" s="16" t="inlineStr">
        <is>
          <t>Facilitatör için özgün karar memosu kiti</t>
        </is>
      </c>
      <c r="D43" s="16" t="inlineStr">
        <is>
          <t>içerik</t>
        </is>
      </c>
      <c r="E43" s="16" t="inlineStr">
        <is>
          <t>Bağımsız ürün/strateji facilitatörü ya da 2-10 kişilik danışman ekibi; ayda 2-10 karar oturumu</t>
        </is>
      </c>
      <c r="F43" s="16" t="inlineStr">
        <is>
          <t>Oturum notlarını seçenek, varsayım, karar ve gözden geçirme tarihi içeren özgün bir karar memosuna çevirmek</t>
        </is>
      </c>
      <c r="G43" s="16" t="inlineStr">
        <is>
          <t>Her karar oturumu sonrası yaklaşık 2 saatlik toparlama; müşteriye teslim edilecek çıktı</t>
        </is>
      </c>
      <c r="H43" s="16" t="inlineStr">
        <is>
          <t>Üç özgün worksheet (seçenek karşılaştırma, varsayım kaydı, gözden geçirme günlüğü) ve memo dışa aktarma; istenirse özel memo hizmeti</t>
        </is>
      </c>
      <c r="I43" s="16" t="inlineStr">
        <is>
          <t>Kit 1.000 TL; özel memo 4.000 TL (KDV durumu kaynakta belirtilmemiş; hariç varsayıldı)</t>
        </is>
      </c>
      <c r="J43" s="16" t="inlineStr">
        <is>
          <t>Danışmanlar arası referans: facilitatörlere 30 dakikalık demo ve izinli, gizli verisiz örnek çıktı</t>
        </is>
      </c>
      <c r="K43" s="16" t="inlineStr">
        <is>
          <t>İki anonim örnekli ücretsiz özgün worksheet; kurucunun diğer ürünlerinin çıktılarına bağlı memo paketi</t>
        </is>
      </c>
      <c r="L43" s="16" t="inlineStr">
        <is>
          <t>İçerik hakları envanterini çıkar; üç özgün worksheet ve iki anonim karar örneğini hazırla; 5 facilitatöre demo ayarla</t>
        </is>
      </c>
      <c r="M43" s="16" t="inlineStr">
        <is>
          <t>Üç worksheet, mevcut dışa aktarma kodundan JSON/Markdown memo ve elle hazırlanan PDF; çalışma alanı, paylaşım ve SSO yok</t>
        </is>
      </c>
      <c r="N43" s="16" t="inlineStr">
        <is>
          <t>Bağımsız facilitatör ve küçük danışmanlıklar</t>
        </is>
      </c>
      <c r="O43" s="16" t="inlineStr">
        <is>
          <t>kurucu satışı</t>
        </is>
      </c>
      <c r="P43" s="16" t="inlineStr">
        <is>
          <t>KVKK</t>
        </is>
      </c>
    </row>
    <row r="44">
      <c r="A44" s="16" t="inlineStr">
        <is>
          <t>kurucu-sunum-hizmeti-a</t>
        </is>
      </c>
      <c r="B44" s="16" t="inlineStr">
        <is>
          <t>Kurucu sunumu ve canlı finans modeli hizmeti</t>
        </is>
      </c>
      <c r="C44" s="16" t="inlineStr">
        <is>
          <t>Hibe ve yatırım sunum paketi: site, canlı model, doğrulama</t>
        </is>
      </c>
      <c r="D44" s="16" t="inlineStr">
        <is>
          <t>hizmet</t>
        </is>
      </c>
      <c r="E44" s="16" t="inlineStr">
        <is>
          <t>BİGG veya KOSGEB başvurusuna hazırlanan teknik kurucu; ilk dış yatırımcısıyla konuşan KOBİ sahibi</t>
        </is>
      </c>
      <c r="F44" s="16" t="inlineStr">
        <is>
          <t>Sunum, finans modeli ve hibe formundaki rakamları birbirini tutar hale getirmek ve jüriye ya da yatırımcıya okunur biçimde sunmak</t>
        </is>
      </c>
      <c r="G44" s="16" t="inlineStr">
        <is>
          <t>KOSGEB ve BİGG çağrı takvimi (4-6 hafta önce), demo günü, yatırımcının ikinci toplantıda rakam istemesi</t>
        </is>
      </c>
      <c r="H44" s="16" t="inlineStr">
        <is>
          <t>Standart paket: 15 bölümlü site, 3 senaryolu 36 ay Sheets modeli, doğrulama raporu, 1 hibe formatı, PPTX/PDF, 2 revizyon, 15 iş günü</t>
        </is>
      </c>
      <c r="I44" s="16" t="inlineStr">
        <is>
          <t>Başlangıç 25.000, Standart 45.000, Premium 75.000 ₺ (KDV hariç); pilotta %50 indirim; ödeme %30 / %40 / %30</t>
        </is>
      </c>
      <c r="J44" s="16" t="inlineStr">
        <is>
          <t>Kuluçka merkezlerinde ve TTO'larda ücretsiz 45 dakikalık tutarlılık atölyesi (İTÜ Çekirdek, KWORKS, Workup, Tech Istanbul)</t>
        </is>
      </c>
      <c r="K44" s="16" t="inlineStr">
        <is>
          <t>BİGG uygulayıcı kuruluşlar, Keiretsu Forum Türkiye ve Galata Business Angels, LinkedIn vaka yazıları</t>
        </is>
      </c>
      <c r="L44" s="16" t="inlineStr">
        <is>
          <t>Demo siteyi yayımla, 10 kuluçka ve TTO yöneticisine atölye teklifi gönder</t>
        </is>
      </c>
      <c r="M44" s="16" t="inlineStr">
        <is>
          <t>Pilot Standart paket: 12-15 bölümlü site, tek senaryolu başlangıç modeli, doğrulama raporu, PDF; hibe formatı ve PPTX ikinci tur</t>
        </is>
      </c>
      <c r="N44" s="16" t="inlineStr">
        <is>
          <t>Hibe başvurucusu teknik kurucu, KOBİ</t>
        </is>
      </c>
      <c r="O44" s="16" t="inlineStr">
        <is>
          <t>ortak</t>
        </is>
      </c>
      <c r="P44" s="16" t="inlineStr">
        <is>
          <t>KVKK</t>
        </is>
      </c>
    </row>
    <row r="45">
      <c r="A45" s="16" t="inlineStr">
        <is>
          <t>kurucu-sunum-hizmeti-b</t>
        </is>
      </c>
      <c r="B45" s="16" t="inlineStr">
        <is>
          <t>Kurucu sunumu ve canlı finans modeli hizmeti</t>
        </is>
      </c>
      <c r="C45" s="16" t="inlineStr">
        <is>
          <t>Rakam tutarlılığı denetimi: tek dosya, sabit fiyat</t>
        </is>
      </c>
      <c r="D45" s="16" t="inlineStr">
        <is>
          <t>hizmet</t>
        </is>
      </c>
      <c r="E45" s="16" t="inlineStr">
        <is>
          <t>Hibe ya da yatırım görüşmesine hazırlanan kurucu; sunumu, modeli ve formu elinde hazır</t>
        </is>
      </c>
      <c r="F45" s="16" t="inlineStr">
        <is>
          <t>Sunum, model ve hibe formundaki rakamların çelişkisini bulmak ve tek kaynaklı bir rakam listesine bağlamak</t>
        </is>
      </c>
      <c r="G45" s="16" t="inlineStr">
        <is>
          <t>Çağrı kapanmadan 2-4 hafta önce; mentör ya da jürinin 'bu rakam nereden' sorusu; demo günü</t>
        </is>
      </c>
      <c r="H45" s="16" t="inlineStr">
        <is>
          <t>Rapor: 10 kritik rakamın kaynak tablosu, çelişki listesi, düzeltilmiş rakam seti; 5 iş günü, 1 revizyon; hibe sonucu garanti edilmez</t>
        </is>
      </c>
      <c r="I45" s="16" t="inlineStr">
        <is>
          <t>9.000 ₺ sabit (KDV hariç; varsayım), peşin tek ödeme; 45 dakikalık atölye ücretsiz</t>
        </is>
      </c>
      <c r="J45" s="16" t="inlineStr">
        <is>
          <t>Kuluçka merkezlerinde ve TTO'larda ücretsiz 45 dakikalık tutarlılık atölyesi, ardından rapor teklifi (İTÜ Çekirdek, Workup, PİLOT)</t>
        </is>
      </c>
      <c r="K45" s="16" t="inlineStr">
        <is>
          <t>BİGG uygulayıcı kuruluşlara çağrı öncesi e-posta; LinkedIn vaka yazıları; üniversite girişimcilik kulüpleri</t>
        </is>
      </c>
      <c r="L45" s="16" t="inlineStr">
        <is>
          <t>'10 kritik rakam' tek sayfasını ve rapor teklifini hazırla, ilk atölyeyi iki kuluçka merkezinde planla</t>
        </is>
      </c>
      <c r="M45" s="16" t="inlineStr">
        <is>
          <t>Tek dosya seti için veri sözlüğü, tutarlılık raporu ve 45 dakikalık gözden geçirme görüşmesi; site ve canlı model yok</t>
        </is>
      </c>
      <c r="N45" s="16" t="inlineStr">
        <is>
          <t>Hibe ve yatırım hazırlığındaki kurucu</t>
        </is>
      </c>
      <c r="O45" s="16" t="inlineStr">
        <is>
          <t>ortak</t>
        </is>
      </c>
      <c r="P45" s="16" t="inlineStr">
        <is>
          <t>KVKK</t>
        </is>
      </c>
    </row>
    <row r="46">
      <c r="A46" s="16" t="inlineStr">
        <is>
          <t>kurucu-sunum-hizmeti-c</t>
        </is>
      </c>
      <c r="B46" s="16" t="inlineStr">
        <is>
          <t>Kurucu sunumu ve canlı finans modeli hizmeti</t>
        </is>
      </c>
      <c r="C46" s="16" t="inlineStr">
        <is>
          <t>Kuluçka ve TTO yıllık lisansı: şablon, doğrulayıcı, eğitim</t>
        </is>
      </c>
      <c r="D46" s="16" t="inlineStr">
        <is>
          <t>yazılım ürünü</t>
        </is>
      </c>
      <c r="E46" s="16" t="inlineStr">
        <is>
          <t>Kuluçka merkezi, TTO ya da hızlandırıcının program yöneticisi; dönemde 10-20 girişimi demo gününe hazırlıyor</t>
        </is>
      </c>
      <c r="F46" s="16" t="inlineStr">
        <is>
          <t>Demo günü öncesi girişimlerin sunumunu standart ve rakamca tutarlı hale getirmek; mentör saatini slayt düzeltmeye harcamamak</t>
        </is>
      </c>
      <c r="G46" s="16" t="inlineStr">
        <is>
          <t>Yeni dönem planı (Eylül-Ekim, Şubat-Mart), demo gününe 6 hafta kala, BİGG uygulayıcı kuruluş çağrısı</t>
        </is>
      </c>
      <c r="H46" s="16" t="inlineStr">
        <is>
          <t>10 girişim için şablon, parametreli doğrulayıcı, 2 eğitim ve yönetici paneli; pilot yıl 30.000 ₺, sonraki yıl 60.000 ₺</t>
        </is>
      </c>
      <c r="I46" s="16" t="inlineStr">
        <is>
          <t>Pilot lisans 30.000 ₺ (ilk yıl), standart 60.000 ₺/yıl (KDV hariç); havale; 2 sayfa sözleşme</t>
        </is>
      </c>
      <c r="J46" s="16" t="inlineStr">
        <is>
          <t>İTÜ Çekirdek, KWORKS, Workup, PİLOT, Tech Istanbul ve 1513 destekli TTO yöneticilerine doğrudan e-posta, LinkedIn ve atölye</t>
        </is>
      </c>
      <c r="K46" s="16" t="inlineStr">
        <is>
          <t>BİGG uygulayıcı kuruluşlar; Keiretsu Forum Türkiye ve Galata Business Angels; Webrazzi Summit ve Big Bang etkinlikleri</t>
        </is>
      </c>
      <c r="L46" s="16" t="inlineStr">
        <is>
          <t>Pilot lisans teklifini ve 45 dakikalık atölyeyi 10 program yöneticisine götür</t>
        </is>
      </c>
      <c r="M46" s="16" t="inlineStr">
        <is>
          <t>Pilot: arındırılmış şablon, parametreli doğrulayıcı, 2 eğitim; yönetici paneli ve jüri modu ikinci aşamada</t>
        </is>
      </c>
      <c r="N46" s="16" t="inlineStr">
        <is>
          <t>Kuluçka merkezi, TTO, hızlandırıcı</t>
        </is>
      </c>
      <c r="O46" s="16" t="inlineStr">
        <is>
          <t>kurucu satışı</t>
        </is>
      </c>
      <c r="P46" s="16" t="inlineStr">
        <is>
          <t>KVKK</t>
        </is>
      </c>
    </row>
    <row r="47">
      <c r="A47" s="16" t="inlineStr">
        <is>
          <t>vize-operasyon-a</t>
        </is>
      </c>
      <c r="B47" s="16" t="inlineStr">
        <is>
          <t>Vize acentesi operasyon platformu</t>
        </is>
      </c>
      <c r="C47" s="16" t="inlineStr">
        <is>
          <t>Acente paneli: 90 günlük pilot, sonra abonelik</t>
        </is>
      </c>
      <c r="D47" s="16" t="inlineStr">
        <is>
          <t>yazılım ürünü</t>
        </is>
      </c>
      <c r="E47" s="16" t="inlineStr">
        <is>
          <t>İstanbul'da 5-12 personelli, Almanya, İtalya, Fransa ve Yunanistan dosyası yapan vize danışmanlık acenteleri</t>
        </is>
      </c>
      <c r="F47" s="16" t="inlineStr">
        <is>
          <t>Dosya aşaması, evrak eksiği, randevu ve belge tarihlerini Excel ve WhatsApp yerine tek panelde izlemek; müşteriye durum bildirmek</t>
        </is>
      </c>
      <c r="G47" s="16" t="inlineStr">
        <is>
          <t>Personel ayrılması, kaçan randevu veya ret şikayeti, müşterinin KVKK belgesi sorması, Şubat-Mayıs yoğun sezonu</t>
        </is>
      </c>
      <c r="H47" s="16" t="inlineStr">
        <is>
          <t>Ülke şablonlu evrak listesi, T-7/T-1 hatırlatma, Telegram bildirimi, tahsilat defteri, 90 gün saklama ve otomatik imha; 3 acentede ücretsiz pilot, 60. günde ücretli geçiş</t>
        </is>
      </c>
      <c r="I47" s="16" t="inlineStr">
        <is>
          <t>Başlangıç 1.490, Standart 2.990, Pro 5.990 ₺/ay; pilot sonrası ilk yıl yüzde 30 indirimle Standart 2.093 ₺/ay</t>
        </is>
      </c>
      <c r="J47" s="16" t="inlineStr">
        <is>
          <t>Gayrettepe, Şişli, Mecidiyeköy ofis ziyareti ve elle WhatsApp mesajı; TÜRSAB bölge sunumu destekleyici (kurul başına yaklaşık 14 kişi)</t>
        </is>
      </c>
      <c r="K47" s="16" t="inlineStr">
        <is>
          <t>Acente WhatsApp grupları, mali müşavirler üzerinden ortak, bir vize acentesi dizin sitesi</t>
        </is>
      </c>
      <c r="L47" s="16" t="inlineStr">
        <is>
          <t>60 acentelik isim listesi çıkar, 20 acenteye elle mesaj at, 10 demo yap, 3 pilot imzası al</t>
        </is>
      </c>
      <c r="M47" s="16" t="inlineStr">
        <is>
          <t>İnce dilim: dosya kartı, durum makinesi, 3 ülke evrak şablonu, randevu girişi ve T-7/T-1 hatırlatma, Telegram, yönetim arayüzü; yaklaşık 20 kurucu günü</t>
        </is>
      </c>
      <c r="N47" s="16" t="inlineStr">
        <is>
          <t>İstanbul 5-12 personelli vize acenteleri</t>
        </is>
      </c>
      <c r="O47" s="16" t="inlineStr">
        <is>
          <t>kurucu satışı</t>
        </is>
      </c>
      <c r="P47" s="16" t="inlineStr">
        <is>
          <t>KVKK</t>
        </is>
      </c>
    </row>
    <row r="48">
      <c r="A48" s="16" t="inlineStr">
        <is>
          <t>vize-operasyon-b</t>
        </is>
      </c>
      <c r="B48" s="16" t="inlineStr">
        <is>
          <t>Vize acentesi operasyon platformu</t>
        </is>
      </c>
      <c r="C48" s="16" t="inlineStr">
        <is>
          <t>Acente Sheet doğrulama ve eksik belge kuyruğu (ücretli pilot)</t>
        </is>
      </c>
      <c r="D48" s="16" t="inlineStr">
        <is>
          <t>hizmet</t>
        </is>
      </c>
      <c r="E48" s="16" t="inlineStr">
        <is>
          <t>Ayda 50-300 vize dosyası işleyen, 3-20 operatörlü tek bir acente; ilk müşteri tek acente</t>
        </is>
      </c>
      <c r="F48" s="16" t="inlineStr">
        <is>
          <t>Acentenin Sheet'teki başvuru satırlarını ülke ve vize türü kuralına göre doğrulamak, eksik ve tarih riskli dosyaları kuyruğa çıkarmak</t>
        </is>
      </c>
      <c r="G48" s="16" t="inlineStr">
        <is>
          <t>Eksik bilgi için müşteriye tekrar tekrar sorma yükü, dosya sahipliği belirsizliği, yoğun dönemde geciken dosyalar</t>
        </is>
      </c>
      <c r="H48" s="16" t="inlineStr">
        <is>
          <t>Salt okunur Sheet içe aktarma, kaynaklı eksik belge kuralı, inceleme kuyruğu, düzeltme kaydı ve dosya dökümü; ilk P0 yalnız operatör kullanır</t>
        </is>
      </c>
      <c r="I48" s="16" t="inlineStr">
        <is>
          <t>5.000 ₺ kurulum ve 100 dosyaya kadar 3.000 ₺/ay (kurucunun hipotezi)</t>
        </is>
      </c>
      <c r="J48" s="16" t="inlineStr">
        <is>
          <t>TÜRSAB bölge kurulu eğitim yüzeyi: ücretsiz şablon sunumu; paylaşım için ev sahibi izni gerekir, izin alınmadı</t>
        </is>
      </c>
      <c r="K48" s="16" t="inlineStr">
        <is>
          <t>Mevcut acente operasyon ilişkisi (varsa) ve evrak kontrol Excel şablonu rehberi ile arama</t>
        </is>
      </c>
      <c r="L48" s="16" t="inlineStr">
        <is>
          <t>100 sentetik satırla 10 dakikalık ücretsiz ön kontrol hazırla; bölge kuruluyla paylaşım için izin iste</t>
        </is>
      </c>
      <c r="M48" s="16" t="inlineStr">
        <is>
          <t>Salt okunur Sheet eşleme, ülke ve vize türü kural kaydı, eksik ve tarih kuyruğu, düzeltme gerekçesi, dosya dökümü; başvurucu girişi ve yazma sonraya</t>
        </is>
      </c>
      <c r="N48" s="16" t="inlineStr">
        <is>
          <t>Tek acente, 3-20 operatör, 50-300 dosya/ay</t>
        </is>
      </c>
      <c r="O48" s="16" t="inlineStr">
        <is>
          <t>ortak</t>
        </is>
      </c>
      <c r="P48" s="16" t="inlineStr">
        <is>
          <t>KVKK</t>
        </is>
      </c>
    </row>
    <row r="49">
      <c r="A49" s="16" t="inlineStr">
        <is>
          <t>vize-operasyon-c</t>
        </is>
      </c>
      <c r="B49" s="16" t="inlineStr">
        <is>
          <t>Vize acentesi operasyon platformu</t>
        </is>
      </c>
      <c r="C49" s="16" t="inlineStr">
        <is>
          <t>Başvurucu evrak kontrolü: 299/599 ₺ rapor, SEO ile</t>
        </is>
      </c>
      <c r="D49" s="16" t="inlineStr">
        <is>
          <t>yazılım ürünü</t>
        </is>
      </c>
      <c r="E49" s="16" t="inlineStr">
        <is>
          <t>Acentesiz, ilk kez Schengen turist vizesine başvuran bireyler (Yunanistan, İtalya, Almanya ağırlıklı)</t>
        </is>
      </c>
      <c r="F49" s="16" t="inlineStr">
        <is>
          <t>Evrak listesinin eksik ya da tutarsız olup olmadığını yüklenen belgelerden öğrenmek; ret ve 90 € ücret kaybı korkusunu azaltmak</t>
        </is>
      </c>
      <c r="G49" s="16" t="inlineStr">
        <is>
          <t>Otel, uçuş ve randevu tarihinin netleşmesi, tanıdığın ret alması, acentenin 3.000-6.000 ₺ istemesi</t>
        </is>
      </c>
      <c r="H49" s="16" t="inlineStr">
        <is>
          <t>Evrak Kontrol: eksik ve tutarsızlık raporu; Tam Dosya: form ve niyet mektubu taslağı ile 1 yeniden kontrol; vize garantisi yok</t>
        </is>
      </c>
      <c r="I49" s="16" t="inlineStr">
        <is>
          <t>Evrak Kontrol 299 ₺, Tam Dosya 599 ₺ (KDV hariç); ortalama sepet 399 ₺</t>
        </is>
      </c>
      <c r="J49" s="16" t="inlineStr">
        <is>
          <t>Google araması: 'almanya vizesi evrak listesi 2026' tipi ülke sayfaları (30 sayfa, 10 ülke)</t>
        </is>
      </c>
      <c r="K49" s="16" t="inlineStr">
        <is>
          <t>Resmî duyuru Telegram bülteni, YouTube evrak videoları, seyahat acentesi beyaz etiket ortaklığı</t>
        </is>
      </c>
      <c r="L49" s="16" t="inlineStr">
        <is>
          <t>Almanya, İtalya, Yunanistan, Fransa, Hollanda için 5 evrak listesi sayfası yaz ve Search Console'a ekle</t>
        </is>
      </c>
      <c r="M49" s="16" t="inlineStr">
        <is>
          <t>Tek sayfa: belge yükle, kişisel veri maskele, rapor al, öde; 3 ülke şablonu; hosted ödeme; 320 px öncelikli</t>
        </is>
      </c>
      <c r="N49" s="16" t="inlineStr">
        <is>
          <t>İlk kez Schengen başvuran bireyler</t>
        </is>
      </c>
      <c r="O49" s="16" t="inlineStr">
        <is>
          <t>arama</t>
        </is>
      </c>
      <c r="P49" s="16" t="inlineStr">
        <is>
          <t>KVKK</t>
        </is>
      </c>
    </row>
    <row r="50">
      <c r="A50" s="16" t="inlineStr">
        <is>
          <t>software-factory-a</t>
        </is>
      </c>
      <c r="B50" s="16" t="inlineStr">
        <is>
          <t>software-factory (yapay zekâ destekli yazılım üretim hattı hizmeti)</t>
        </is>
      </c>
      <c r="C50" s="16" t="inlineStr">
        <is>
          <t>Sabit fiyatlı kanıtlı MVP paketi (S/M/L)</t>
        </is>
      </c>
      <c r="D50" s="16" t="inlineStr">
        <is>
          <t>hizmet</t>
        </is>
      </c>
      <c r="E50" s="16" t="inlineStr">
        <is>
          <t>Teknik ortağı olmayan tohum ve ön tohum aşaması girişimler; bütçe 95-480 bin ₺</t>
        </is>
      </c>
      <c r="F50" s="16" t="inlineStr">
        <is>
          <t>Kullanıcı hikâyelerinden test edilmiş, CI geçmişli, müşterinin sunucusuna kurulan web uygulaması MVP'si yaptırmak</t>
        </is>
      </c>
      <c r="G50" s="16" t="inlineStr">
        <is>
          <t>Yatırımcı toplantısı ya da program rapor tarihi; ajans teklifinin 490 bin ₺ üstü çıkması; AI prototipinin tıkanması</t>
        </is>
      </c>
      <c r="H50" s="16" t="inlineStr">
        <is>
          <t>Kapsam = hikâye listesi; sabit fiyat ve süre; teslimde RED-GREEN, 3 tarayıcı, erişilebilirlik, CI ve imaj kanıt paketi; %50 peşin</t>
        </is>
      </c>
      <c r="I50" s="16" t="inlineStr">
        <is>
          <t>S 95.000 ₺ (8 hikâye, 2 hf), M 240.000 ₺ (20 hikâye, 5 hf), L 480.000 ₺; ilk 3 pilot S 50.000 ₺; KDV hariç</t>
        </is>
      </c>
      <c r="J50" s="16" t="inlineStr">
        <is>
          <t>TÜBİTAK BiGG yürütücüleri (Bilişim Vadisi, Hangar BiGG, BİGGİST) ve kuluçkalarda webinar ile hikâye kliniği; LinkedIn kişisel mesaj</t>
        </is>
      </c>
      <c r="K50" s="16" t="inlineStr">
        <is>
          <t>Kurucunun ürünlerinin çevresinden pilot adayları (isim listesi yok); startups.watch'tan 50 girişime e-posta; Clutch ve Bionluk profili; ajans ortaklığı</t>
        </is>
      </c>
      <c r="L50" s="16" t="inlineStr">
        <is>
          <t>50 girişimlik liste, fiyat sayfası ve kanıt karnesi örneği hazırla; 3 pilot adayıyla görüş</t>
        </is>
      </c>
      <c r="M50" s="16" t="inlineStr">
        <is>
          <t>S paket: en çok 8 hikâye, 1 ortam, kanıt paketi, 2 revizyon, 2 hafta. Ön koşul: API adaptörü, sert tavan, kanıt çıktısı, sözleşme şablonu (yaklaşık 105 saat).</t>
        </is>
      </c>
      <c r="N50" s="16" t="inlineStr">
        <is>
          <t>CTO'suz tohum girişimler</t>
        </is>
      </c>
      <c r="O50" s="16" t="inlineStr">
        <is>
          <t>kurucu satışı</t>
        </is>
      </c>
      <c r="P50" s="16" t="inlineStr">
        <is>
          <t>KVKK</t>
        </is>
      </c>
    </row>
    <row r="51">
      <c r="A51" s="16" t="inlineStr">
        <is>
          <t>software-factory-b</t>
        </is>
      </c>
      <c r="B51" s="16" t="inlineStr">
        <is>
          <t>software-factory (yapay zekâ destekli yazılım üretim hattı hizmeti)</t>
        </is>
      </c>
      <c r="C51" s="16" t="inlineStr">
        <is>
          <t>Tek repo için ajan PR makbuzu kurulum hizmeti</t>
        </is>
      </c>
      <c r="D51" s="16" t="inlineStr">
        <is>
          <t>hizmet</t>
        </is>
      </c>
      <c r="E51" s="16" t="inlineStr">
        <is>
          <t>5-25 geliştiricili ürün şirketlerinde engineering lead; ikincil: 10-50 kişilik geliştirme ajansı</t>
        </is>
      </c>
      <c r="F51" s="16" t="inlineStr">
        <is>
          <t>Ajanla üretilen küçük PR'ların istek, test, review ve maliyet kanıtını tek makbuzda toplamak; insan inceleme süresini azaltmak</t>
        </is>
      </c>
      <c r="G51" s="16" t="inlineStr">
        <is>
          <t>Ajan PR'ları review kuyruğunu uzatıyor; başarısız denemenin kanıtı kayboluyor; haftalık teslim riski</t>
        </is>
      </c>
      <c r="H51" s="16" t="inlineStr">
        <is>
          <t>Tek repo için salt okunur dry-run, 20 sınırlı iş, diff ve test makbuzu, owner onayı, sert bütçe; ücretsiz Action ile giriş</t>
        </is>
      </c>
      <c r="I51" s="16" t="inlineStr">
        <is>
          <t>300-800 $ tek seferlik kurulum (orta 500 $ = 24.000 ₺); takım kontrolü 49-149 $/ay yalnız tekrar kullanım görülürse</t>
        </is>
      </c>
      <c r="J51" s="16" t="inlineStr">
        <is>
          <t>GitHub Marketplace'te ücretsiz makbuz doğrulama Action'ı ve Kestra blueprint kataloğunda 'issue-test makbuzu-onay' şablonu</t>
        </is>
      </c>
      <c r="K51" s="16" t="inlineStr">
        <is>
          <t>Geliştirici toplulukları, örnek açık kaynak repo, ajanslara doğrudan mesaj</t>
        </is>
      </c>
      <c r="L51" s="16" t="inlineStr">
        <is>
          <t>Action ve örnek repoyu yayımla (24-40 saat; ücretli kurulum kapsamı ayrı iş); 3 dış ortamda dry-run yaptır</t>
        </is>
      </c>
      <c r="M51" s="16" t="inlineStr">
        <is>
          <t>1 repo, izinli komut profili, 20 sınırlı iş, diff ve test makbuzu, owner onayı, sert bütçe; müşteri kendi model anahtarını kullanır.</t>
        </is>
      </c>
      <c r="N51" s="16" t="inlineStr">
        <is>
          <t>Küçük ürün ekipleri ve ajanslar</t>
        </is>
      </c>
      <c r="O51" s="16" t="inlineStr">
        <is>
          <t>pazar yeri</t>
        </is>
      </c>
      <c r="P51" s="16" t="inlineStr">
        <is>
          <t>yok</t>
        </is>
      </c>
    </row>
    <row r="52">
      <c r="A52" s="16" t="inlineStr">
        <is>
          <t>software-factory-c</t>
        </is>
      </c>
      <c r="B52" s="16" t="inlineStr">
        <is>
          <t>software-factory (yapay zekâ destekli yazılım üretim hattı hizmeti)</t>
        </is>
      </c>
      <c r="C52" s="16" t="inlineStr">
        <is>
          <t>Ajanslara beyaz etiket kanıtlı MVP kapasitesi</t>
        </is>
      </c>
      <c r="D52" s="16" t="inlineStr">
        <is>
          <t>hizmet</t>
        </is>
      </c>
      <c r="E52" s="16" t="inlineStr">
        <is>
          <t>Geliştirici kadrosu olmayan 5-15 kişilik tasarım ve dijital ajanslar (İstanbul, İzmir, Ankara)</t>
        </is>
      </c>
      <c r="F52" s="16" t="inlineStr">
        <is>
          <t>Müşterisinden gelen web uygulaması talebini kendi markasıyla, test kanıtlı teslim etmek; geliştirici maaşı taşımamak</t>
        </is>
      </c>
      <c r="G52" s="16" t="inlineStr">
        <is>
          <t>Büyük müşteriden uygulama talebi gelmesi; freelancer'ın teslim edememesi; ihale ya da marj baskısı</t>
        </is>
      </c>
      <c r="H52" s="16" t="inlineStr">
        <is>
          <t>Toptan %15 iskontolu S/M paket; ajans markalı kanıt paketi; iletişim ajans üzerinden; 12 ay rekabet etmeme maddesi</t>
        </is>
      </c>
      <c r="I52" s="16" t="inlineStr">
        <is>
          <t>M 204.000 ₺ toptan (liste 240.000), S 80.750 ₺ toptan (liste 95.000); KDV hariç</t>
        </is>
      </c>
      <c r="J52" s="16" t="inlineStr">
        <is>
          <t>LinkedIn kişisel mesaj: 'dijital ajans kurucusu' hesapları; IAB Türkiye ve Reklamcılar Derneği üyesi ajanlar</t>
        </is>
      </c>
      <c r="K52" s="16" t="inlineStr">
        <is>
          <t>Bionluk ve Upwork'te alt yüklenici arayan ajanslar; Webrazzi ajans rehberi; tasarım stüdyolarıyla karşılıklı yönlendirme</t>
        </is>
      </c>
      <c r="L52" s="16" t="inlineStr">
        <is>
          <t>40 ajanslık liste ve kanıt paketi örneği hazırla; haftada 10 kişisel bağlantı isteği gönder</t>
        </is>
      </c>
      <c r="M52" s="16" t="inlineStr">
        <is>
          <t>Ajans markalı S paket: en çok 8 hikâye, 2 hafta, kanıt paketi. Ön koşul: A seçeneğinin hazırlık işleri ve ajans markalı çıktı şablonu (yaklaşık 135 saat).</t>
        </is>
      </c>
      <c r="N52" s="16" t="inlineStr">
        <is>
          <t>Küçük dijital ve tasarım ajansları</t>
        </is>
      </c>
      <c r="O52" s="16" t="inlineStr">
        <is>
          <t>ortak</t>
        </is>
      </c>
      <c r="P52" s="16" t="inlineStr">
        <is>
          <t>KVKK</t>
        </is>
      </c>
    </row>
    <row r="53">
      <c r="A53" s="16" t="inlineStr">
        <is>
          <t>strateji-simulatoru-a</t>
        </is>
      </c>
      <c r="B53" s="16" t="inlineStr">
        <is>
          <t>Strateji Simülatörü</t>
        </is>
      </c>
      <c r="C53" s="16" t="inlineStr">
        <is>
          <t>Kuluçka ve BİGG uygulayıcıya white-label lisans</t>
        </is>
      </c>
      <c r="D53" s="16" t="inlineStr">
        <is>
          <t>yazılım ürünü</t>
        </is>
      </c>
      <c r="E53" s="16" t="inlineStr">
        <is>
          <t>BİGG uygulayıcı kuruluşlar, teknokent kuluçkaları ve TTO'lar; her çağrıda 150-400 fikri ön eleyen program yöneticileri</t>
        </is>
      </c>
      <c r="F53" s="16" t="inlineStr">
        <is>
          <t>Çağrıdaki yüzlerce fikri mentor saati harcamadan, tek bir yayımlı ölçekle ön elemek ve program raporlamasına gerekçe üretmek</t>
        </is>
      </c>
      <c r="G53" s="16" t="inlineStr">
        <is>
          <t>Yeni çağrı ya da ön kuluçka döneminin açılması; mentor saatinin yetmemesi; programın raporlama yükümlülüğü</t>
        </is>
      </c>
      <c r="H53" s="16" t="inlineStr">
        <is>
          <t>Kurum logosuyla ve alt alan adıyla çalışan simülatör; 3 ay ücretsiz pilot, sonra yıllık lisans; kohort CSV çıktısı ve 2 saat eğitim</t>
        </is>
      </c>
      <c r="I53" s="16" t="inlineStr">
        <is>
          <t>24.900 TL yıllık + KDV; pilot 3 ay ücretsiz; danışman paketi 9.900 TL yıllık + KDV</t>
        </is>
      </c>
      <c r="J53" s="16" t="inlineStr">
        <is>
          <t>TÜBİTAK 1812 listesindeki uygulayıcı kuruluşlara kişisel e-posta ve 15 dakikalık demo; ilk dalga 30 kurum</t>
        </is>
      </c>
      <c r="K53" s="16" t="inlineStr">
        <is>
          <t>Teknokent yöneticileri, girişimcilik eğitmenleri ve LinkedIn üzerinden kuluçka yöneticilerine yöntem paylaşımı</t>
        </is>
      </c>
      <c r="L53" s="16" t="inlineStr">
        <is>
          <t>30 kurumluk ilk dalga listesini çıkarıp çağrı takvimine göre 10 kuruma pilot teklifi göndermek</t>
        </is>
      </c>
      <c r="M53" s="16" t="inlineStr">
        <is>
          <t>Statik white-label paket (logo, renk, kurum notu, alt alan adı), yayımlı metodoloji sayfası, örnek senaryolar, toplu CSV ve 3 aylık ölçüm planı; kohort panosu ve jüri modu kapsam dışı (L2)</t>
        </is>
      </c>
      <c r="N53" s="16" t="inlineStr">
        <is>
          <t>kuluçka merkezi, TTO, BİGG uygulayıcı</t>
        </is>
      </c>
      <c r="O53" s="16" t="inlineStr">
        <is>
          <t>kurucu satışı</t>
        </is>
      </c>
      <c r="P53" s="16" t="inlineStr">
        <is>
          <t>KVKK</t>
        </is>
      </c>
    </row>
    <row r="54">
      <c r="A54" s="16" t="inlineStr">
        <is>
          <t>strateji-simulatoru-b</t>
        </is>
      </c>
      <c r="B54" s="16" t="inlineStr">
        <is>
          <t>Strateji Simülatörü</t>
        </is>
      </c>
      <c r="C54" s="16" t="inlineStr">
        <is>
          <t>Girişimci adayına ücretli yönetici raporu (PDF)</t>
        </is>
      </c>
      <c r="D54" s="16" t="inlineStr">
        <is>
          <t>içerik</t>
        </is>
      </c>
      <c r="E54" s="16" t="inlineStr">
        <is>
          <t>KOSGEB ve BİGG başvurusu hazırlayan teknik girişimci adayları; kendi kararı ve kartıyla alan bireyler</t>
        </is>
      </c>
      <c r="F54" s="16" t="inlineStr">
        <is>
          <t>Başvurudan önce jürinin soracağı soruları görmek, eksik kanıtı 30 günlük listeye çevirmek, başvuru alanlarına eşlenmiş özet almak</t>
        </is>
      </c>
      <c r="G54" s="16" t="inlineStr">
        <is>
          <t>KOSGEB başvuru dönemi ya da BİGG çağrısının açılması; mentor görüşmesinden önceki hafta</t>
        </is>
      </c>
      <c r="H54" s="16" t="inlineStr">
        <is>
          <t>Ücretsiz tam değerlendirme; sonucu 8-10 sayfalık PDF rapora çeviren ücretli katman: kapı tablosu, eylem listesi, form eşlemesi</t>
        </is>
      </c>
      <c r="I54" s="16" t="inlineStr">
        <is>
          <t>349 TL (rapor) ve 749 TL (başvuru paketi), KDV dahil; ilk 5 kişiye 149 TL kurucu fiyatı; 7 gün iade</t>
        </is>
      </c>
      <c r="J54" s="16" t="inlineStr">
        <is>
          <t>Kurucunun mevcut hibe danışmanlığı müşterilerine kişisel e-posta; sonra Türkçe arama içerikleri ve kulüp atölyeleri</t>
        </is>
      </c>
      <c r="K54" s="16" t="inlineStr">
        <is>
          <t>Üniversite girişimcilik kulüpleri, Türkçe girişim toplulukları ve kuluçka duyuruları üzerinden ölçüm paylaşımı</t>
        </is>
      </c>
      <c r="L54" s="16" t="inlineStr">
        <is>
          <t>Metodoloji sayfası ve satış sayfasını yayınlamak, ödeme hesabını açıp test satın alma yapmak</t>
        </is>
      </c>
      <c r="M54" s="16" t="inlineStr">
        <is>
          <t>Yazdırma tabanlı PDF rapor şablonu, ödeme ve teslim akışı, satış sayfası, hukuk metinleri, 4 örnek senaryo</t>
        </is>
      </c>
      <c r="N54" s="16" t="inlineStr">
        <is>
          <t>girişimci adayı, KOSGEB ve BİGG başvurucusu</t>
        </is>
      </c>
      <c r="O54" s="16" t="inlineStr">
        <is>
          <t>mevcut müşteri</t>
        </is>
      </c>
      <c r="P54" s="16" t="inlineStr">
        <is>
          <t>KVKK</t>
        </is>
      </c>
    </row>
    <row r="55">
      <c r="A55" s="16" t="inlineStr">
        <is>
          <t>strateji-simulatoru-c</t>
        </is>
      </c>
      <c r="B55" s="16" t="inlineStr">
        <is>
          <t>Strateji Simülatörü</t>
        </is>
      </c>
      <c r="C55" s="16" t="inlineStr">
        <is>
          <t>Mevcut müşterilere değerlendirme raporu ve yorum görüşmesi</t>
        </is>
      </c>
      <c r="D55" s="16" t="inlineStr">
        <is>
          <t>hizmet</t>
        </is>
      </c>
      <c r="E55" s="16" t="inlineStr">
        <is>
          <t>Kurucunun hibe ve teşvik danışmanlığı ile sunum hizmeti müşterileri; yeni ürün hattı ya da iç proje kararı veren KOBİ'ler</t>
        </is>
      </c>
      <c r="F55" s="16" t="inlineStr">
        <is>
          <t>Yatırım ya da başvuru kararından önce geri ödeme, nakit ömrü, kapasite ve risk kapılarını yazılı görmek ve bir saatte yorumlatmak</t>
        </is>
      </c>
      <c r="G55" s="16" t="inlineStr">
        <is>
          <t>Hibe başvurusu ya da teşvik ön değerlendirmesi öncesi; banka kredi görüşmesi; yeni ürün hattı kararı</t>
        </is>
      </c>
      <c r="H55" s="16" t="inlineStr">
        <is>
          <t>Değerlendirme çalıştırılır; sonuç kısa rapora dökülür; 1 saatlik görüşmede kapı gerekçeleri ve eksik kanıt listesi yorumlanır</t>
        </is>
      </c>
      <c r="I55" s="16" t="inlineStr">
        <is>
          <t>1.500 TL + KDV tek paket (rapor ve 1 saat görüşme)</t>
        </is>
      </c>
      <c r="J55" s="16" t="inlineStr">
        <is>
          <t>Kurucunun mevcut danışmanlık müşterilerine kişisel e-posta; her ön değerlendirme görüşmesine araç bağlantısı eklemek</t>
        </is>
      </c>
      <c r="K55" s="16" t="inlineStr">
        <is>
          <t>Müşterilerin tanıdığı mali müşavirler ve ortak web semineri; müşteri referansı</t>
        </is>
      </c>
      <c r="L55" s="16" t="inlineStr">
        <is>
          <t>Mevcut müşteri listesinden 20 isim çıkarıp ilk 10 kişiye pakete özel e-posta göndermek</t>
        </is>
      </c>
      <c r="M55" s="16" t="inlineStr">
        <is>
          <t>Mevcut araç, elle hazırlanan 3 sayfalık rapor şablonu (Markdown ve Excel çıktısından), 1 saatlik görüşme ve sabit teklif metni</t>
        </is>
      </c>
      <c r="N55" s="16" t="inlineStr">
        <is>
          <t>mevcut danışmanlık müşterisi, KOBİ</t>
        </is>
      </c>
      <c r="O55" s="16" t="inlineStr">
        <is>
          <t>mevcut müşteri</t>
        </is>
      </c>
      <c r="P55" s="16" t="inlineStr">
        <is>
          <t>yok</t>
        </is>
      </c>
    </row>
    <row r="56">
      <c r="A56" s="16" t="inlineStr">
        <is>
          <t>ajan-kaynak-koruyucu-a</t>
        </is>
      </c>
      <c r="B56" s="16" t="inlineStr">
        <is>
          <t>Yapay zekâ ajanı kaynak ve maliyet koruyucu</t>
        </is>
      </c>
      <c r="C56" s="16" t="inlineStr">
        <is>
          <t>Pro menü çubuğu uygulaması ve rehber paketi (bireysel geliştirici)</t>
        </is>
      </c>
      <c r="D56" s="16" t="inlineStr">
        <is>
          <t>yazılım ürünü</t>
        </is>
      </c>
      <c r="E56" s="16" t="inlineStr">
        <is>
          <t>16 GB Mac'te Claude Code, Codex ve benzeri ajanları paralel çalıştıran bağımsız geliştirici ve tek kişilik kurucu</t>
        </is>
      </c>
      <c r="F56" s="16" t="inlineStr">
        <is>
          <t>Ajan oturumları makineyi dondurmadan çalışsın; sahipsiz süreçler temizlensin; yeni ajan başlatmanın uygun olup olmadığı görünsün</t>
        </is>
      </c>
      <c r="G56" s="16" t="inlineStr">
        <is>
          <t>Makine donması, takas alanının dolması, oturum kapanınca arkada kalan süreçler; yeni 16 GB Mac alımı</t>
        </is>
      </c>
      <c r="H56" s="16" t="inlineStr">
        <is>
          <t>Ücretsiz açık kaynak çekirdek; Pro: menü çubuğu, bildirim, log analizi, karantina arayüzü. Paket: Pro + İngilizce 16 GB Mac rehberi</t>
        </is>
      </c>
      <c r="I56" s="16" t="inlineStr">
        <is>
          <t>Pro 15 $ lansman, sonra 19 $ tek sefer (720 ve 912 TL); rehber 9 $; paket 24 $; aylık Pro 5 $</t>
        </is>
      </c>
      <c r="J56" s="16" t="inlineStr">
        <is>
          <t>GitHub public depo, Homebrew tap, Show HN ve r/ClaudeAI, r/macapps gönderileri</t>
        </is>
      </c>
      <c r="K56" s="16" t="inlineStr">
        <is>
          <t>Anthropic ve OpenAI depolarındaki bellek kayıtlarına ölçüm paylaşan yorumlar; ccusage ve CodexBar yazarlarına karşılıklı bağlantı</t>
        </is>
      </c>
      <c r="L56" s="16" t="inlineStr">
        <is>
          <t>Git deposu aç, ürün adından Claude ibaresini çıkar, README'yi düzelt, lisans kararını kurucudan al, Homebrew formülünü yayımla</t>
        </is>
      </c>
      <c r="M56" s="16" t="inlineStr">
        <is>
          <t>Notarize edilmiş menü çubuğu uygulaması (baskı rengi, ağaç RSS, bildirim), lisans anahtarı, ödeme sayfası, kısa İngilizce rehber</t>
        </is>
      </c>
      <c r="N56" s="16" t="inlineStr">
        <is>
          <t>16 GB Mac geliştiricisi</t>
        </is>
      </c>
      <c r="O56" s="16" t="inlineStr">
        <is>
          <t>topluluk</t>
        </is>
      </c>
      <c r="P56" s="16" t="inlineStr">
        <is>
          <t>yok</t>
        </is>
      </c>
    </row>
    <row r="57">
      <c r="A57" s="16" t="inlineStr">
        <is>
          <t>ajan-kaynak-koruyucu-b</t>
        </is>
      </c>
      <c r="B57" s="16" t="inlineStr">
        <is>
          <t>Yapay zekâ ajanı kaynak ve maliyet koruyucu</t>
        </is>
      </c>
      <c r="C57" s="16" t="inlineStr">
        <is>
          <t>Rapor-yalnız paket ve destekli kurulum/uyumluluk hizmeti</t>
        </is>
      </c>
      <c r="D57" s="16" t="inlineStr">
        <is>
          <t>hizmet</t>
        </is>
      </c>
      <c r="E57" s="16" t="inlineStr">
        <is>
          <t>macOS'ta ajan CLI kullanan 5-20 mühendisli takımın geliştirici deneyimi sorumlusu ve bireysel danışman</t>
        </is>
      </c>
      <c r="F57" s="16" t="inlineStr">
        <is>
          <t>Ajan yüzünden donan iş istasyonunu güvenli teşhis etmek, doğru süreci seçmek, kurulumu ve geri almayı sorunsuz yapmak</t>
        </is>
      </c>
      <c r="G57" s="16" t="inlineStr">
        <is>
          <t>Aynı iş istasyonu donma şikâyetinin ikinci kez gelmesi; sürüm güncellemesi sonrası uyum sorunu</t>
        </is>
      </c>
      <c r="H57" s="16" t="inlineStr">
        <is>
          <t>Ücretsiz rapor-yalnız CLI; ücretli: destekli kurulum, sürüm uyumluluk kontrolü, gizlilik güvenli teşhis raporu, geri alma doğrulaması</t>
        </is>
      </c>
      <c r="I57" s="16" t="inlineStr">
        <is>
          <t>Bireysel destekli kurulum 60 $ (2.880 TL); takım paketi 200 $ (9.600 TL), tek sefer</t>
        </is>
      </c>
      <c r="J57" s="16" t="inlineStr">
        <is>
          <t>Public depo ve sorun giderme yazısı; Claude Code deposunda bellek kayıtlarına redakte rapor örneği paylaşımı</t>
        </is>
      </c>
      <c r="K57" s="16" t="inlineStr">
        <is>
          <t>Kurucunun çevresindeki küçük geliştirici takımları; ccusage kullanıcıları için karşılaştırma sayfası</t>
        </is>
      </c>
      <c r="L57" s="16" t="inlineStr">
        <is>
          <t>Rapor-yalnız paketi yayımla, desteklenen macOS ve Claude sürüm listesini yaz, kurulum teşhis paketinin kapsamını bir sayfaya indir</t>
        </is>
      </c>
      <c r="M57" s="16" t="inlineStr">
        <is>
          <t>Rapor-yalnız CLI, desteklenen sürüm listesi, redakte teşhis çıktısı, kaldırma doğrulaması, 60-90 dakikalık uzaktan kurulum oturumu</t>
        </is>
      </c>
      <c r="N57" s="16" t="inlineStr">
        <is>
          <t>Takım lideri, bireysel danışman</t>
        </is>
      </c>
      <c r="O57" s="16" t="inlineStr">
        <is>
          <t>içerik</t>
        </is>
      </c>
      <c r="P57" s="16" t="inlineStr">
        <is>
          <t>KVKK</t>
        </is>
      </c>
    </row>
    <row r="58">
      <c r="A58" s="16" t="inlineStr">
        <is>
          <t>ajan-kaynak-koruyucu-c</t>
        </is>
      </c>
      <c r="B58" s="16" t="inlineStr">
        <is>
          <t>Yapay zekâ ajanı kaynak ve maliyet koruyucu</t>
        </is>
      </c>
      <c r="C58" s="16" t="inlineStr">
        <is>
          <t>Orkestratör ortaklığı ve kurumsal sponsorluk (kabul API'si)</t>
        </is>
      </c>
      <c r="D58" s="16" t="inlineStr">
        <is>
          <t>diğer</t>
        </is>
      </c>
      <c r="E58" s="16" t="inlineStr">
        <is>
          <t>Paralel ajan başlatan açık kaynak orkestratör ve geliştirici aracı şirketleri; ayrıca bireysel GitHub sponsorları</t>
        </is>
      </c>
      <c r="F58" s="16" t="inlineStr">
        <is>
          <t>Orkestratörün yeni ajan başlatmadan önce makinenin uygun olup olmadığını tek çağrıyla öğrenmesi ve kullanıcı şikâyetini azaltması</t>
        </is>
      </c>
      <c r="G58" s="16" t="inlineStr">
        <is>
          <t>16 GB Mac kullanıcılarından gelen donma şikâyetleri; ajan sayısını artıran yeni sürümler</t>
        </is>
      </c>
      <c r="H58" s="16" t="inlineStr">
        <is>
          <t>Kabul API'si entegrasyonu (yaklaşık 20 satır), öncelikli hata düzeltme, yol haritası oyu, isim görünürlüğü karşılığında aylık sponsorluk</t>
        </is>
      </c>
      <c r="I58" s="16" t="inlineStr">
        <is>
          <t>Kurumsal sponsor 64 $/ay (3.072 TL); bireysel sponsor 4-16 $/ay</t>
        </is>
      </c>
      <c r="J58" s="16" t="inlineStr">
        <is>
          <t>Orkestratör projelerinin sorun ve PR kayıtları (Pane ve Superset benzeri); GitHub Sponsors</t>
        </is>
      </c>
      <c r="K58" s="16" t="inlineStr">
        <is>
          <t>ccusage ve CodexBar yazarlarıyla karşılıklı bağlantı; Show HN duyurusu</t>
        </is>
      </c>
      <c r="L58" s="16" t="inlineStr">
        <is>
          <t>Kabul API'sinin belgesini ve örnek entegrasyonunu yayımla; iki orkestratör projesine PR aç; GitHub Sponsors profilini aç</t>
        </is>
      </c>
      <c r="M58" s="16" t="inlineStr">
        <is>
          <t>Public depo, README, kabul API'si belgesi, örnek entegrasyon PR'ı, Sponsors profili; Pro uygulaması gerekmez</t>
        </is>
      </c>
      <c r="N58" s="16" t="inlineStr">
        <is>
          <t>Orkestratör ve geliştirici aracı şirketleri</t>
        </is>
      </c>
      <c r="O58" s="16" t="inlineStr">
        <is>
          <t>ortak</t>
        </is>
      </c>
      <c r="P58" s="16" t="inlineStr">
        <is>
          <t>yok</t>
        </is>
      </c>
    </row>
    <row r="59">
      <c r="A59" s="16" t="inlineStr">
        <is>
          <t>actionplan-a</t>
        </is>
      </c>
      <c r="B59" s="16" t="inlineStr">
        <is>
          <t>actionplan (yapay zekâya hazır iş kırılım aracı)</t>
        </is>
      </c>
      <c r="C59" s="16" t="inlineStr">
        <is>
          <t>Ajan görev paketi: açık çekirdek ve Pro şablonlar</t>
        </is>
      </c>
      <c r="D59" s="16" t="inlineStr">
        <is>
          <t>yazılım ürünü</t>
        </is>
      </c>
      <c r="E59" s="16" t="inlineStr">
        <is>
          <t>Codex ya da Claude Code ile ürün çıkaran solo geliştirici; küçük ekipler için Team paketi</t>
        </is>
      </c>
      <c r="F59" s="16" t="inlineStr">
        <is>
          <t>Büyük işi ajanın bitirebileceği görevlere bölmek; her göreve bağlam, kabul ölçütü, bağımlılık ve yapma listesi vermek</t>
        </is>
      </c>
      <c r="G59" s="16" t="inlineStr">
        <is>
          <t>Yeni bir proje başlangıcı ya da ajan oturumunda boşa giden bir saat</t>
        </is>
      </c>
      <c r="H59" s="16" t="inlineStr">
        <is>
          <t>Çekirdek ücretsiz ve açık kaynak; Pro: şablonlar, Codex/Claude paketleri, içe aktarma, 12 ay güncelleme; Team: 5 kişi</t>
        </is>
      </c>
      <c r="I59" s="16" t="inlineStr">
        <is>
          <t>Pro 39 USD tek seferlik; Team 99 USD; ilk 10 kişiye 19 USD kurucu fiyatı</t>
        </is>
      </c>
      <c r="J59" s="16" t="inlineStr">
        <is>
          <t>GitHub deposu ve canlı demo, Show HN gönderisi, r/ClaudeCode ve r/ChatGPTCoding gönderileri</t>
        </is>
      </c>
      <c r="K59" s="16" t="inlineStr">
        <is>
          <t>r/ClaudeAI, X'te paylaşım, awesome listeleri, Product Hunt, kurucunun bildiği 2 dış ekip</t>
        </is>
      </c>
      <c r="L59" s="16" t="inlineStr">
        <is>
          <t>Yeni hafif depo, boş proje şablonu ve görev paketi dışa aktarmayı genelleştir; 20 test kullanıcısına davet gönder</t>
        </is>
      </c>
      <c r="M59" s="16" t="inlineStr">
        <is>
          <t>Boş proje, 3 seviyeli şema, Board/Table/Graph, ajan görev paketi dışa aktarma, 4 şablon, lisans anahtarlı Pro satış sayfası</t>
        </is>
      </c>
      <c r="N59" s="16" t="inlineStr">
        <is>
          <t>ajanla kodlayan solo geliştirici</t>
        </is>
      </c>
      <c r="O59" s="16" t="inlineStr">
        <is>
          <t>topluluk</t>
        </is>
      </c>
      <c r="P59" s="16" t="inlineStr">
        <is>
          <t>KVKK</t>
        </is>
      </c>
    </row>
    <row r="60">
      <c r="A60" s="16" t="inlineStr">
        <is>
          <t>actionplan-b</t>
        </is>
      </c>
      <c r="B60" s="16" t="inlineStr">
        <is>
          <t>actionplan (yapay zekâya hazır iş kırılım aracı)</t>
        </is>
      </c>
      <c r="C60" s="16" t="inlineStr">
        <is>
          <t>Teslim kabul kurulumu: sürümlü kapsam ve kanıt paketi</t>
        </is>
      </c>
      <c r="D60" s="16" t="inlineStr">
        <is>
          <t>hizmet</t>
        </is>
      </c>
      <c r="E60" s="16" t="inlineStr">
        <is>
          <t>5-30 kişilik yazılım ajansının proje lideri (alıcı); ajansın müşterisi kabul eden taraf</t>
        </is>
      </c>
      <c r="F60" s="16" t="inlineStr">
        <is>
          <t>Değişiklik talebinin kapsamını, kabul kuralını ve kanıtını sürümlü tek kayıtta tutmak; müşteri kabul ya da ret versin</t>
        </is>
      </c>
      <c r="G60" s="16" t="inlineStr">
        <is>
          <t>Müşterinin 'ben bunu istemedim' demesi ya da teslim sonrası yeniden açılan iş</t>
        </is>
      </c>
      <c r="H60" s="16" t="inlineStr">
        <is>
          <t>Sabit kapsamlı kurulum: bir kaynaktan içe aktarma, kapsam sürüm farkı, kabul listesi, kanıt bağlantısı, salt-okunur paylaşım, 3 teslimde pilot</t>
        </is>
      </c>
      <c r="I60" s="16" t="inlineStr">
        <is>
          <t>Kurulum 400 USD (19200 TL); sonrasında çalışma alanı başına 29-79 USD/ay hipotezi</t>
        </is>
      </c>
      <c r="J60" s="16" t="inlineStr">
        <is>
          <t>Plane Marketplace listelenmesi (henüz listeli değil) ve ücretsiz kabul şablonu denetleyen GitHub Action</t>
        </is>
      </c>
      <c r="K60" s="16" t="inlineStr">
        <is>
          <t>Kurucunun bildiği ajans ve yazılım ekipleri; ajans lideri toplulukları; yayınlanan anonim kabul örnekleri</t>
        </is>
      </c>
      <c r="L60" s="16" t="inlineStr">
        <is>
          <t>Anonim 3 teslimlik kabul örneğini ve şablonu yayınla; 20 ajans proje liderinin adını listele; 3 ajansa pilot teklifi gönder</t>
        </is>
      </c>
      <c r="M60" s="16" t="inlineStr">
        <is>
          <t>Elle teslim: kabul şablonu, kapsam sürüm tablosu, kanıt bağlantı listesi, salt-okunur paylaşım; araç yalnız mevcut dışa aktarma kadar</t>
        </is>
      </c>
      <c r="N60" s="16" t="inlineStr">
        <is>
          <t>5-30 kişilik yazılım ajansı</t>
        </is>
      </c>
      <c r="O60" s="16" t="inlineStr">
        <is>
          <t>pazar yeri</t>
        </is>
      </c>
      <c r="P60" s="16" t="inlineStr">
        <is>
          <t>KVKK</t>
        </is>
      </c>
    </row>
    <row r="61">
      <c r="A61" s="16" t="inlineStr">
        <is>
          <t>actionplan-c</t>
        </is>
      </c>
      <c r="B61" s="16" t="inlineStr">
        <is>
          <t>actionplan (yapay zekâya hazır iş kırılım aracı)</t>
        </is>
      </c>
      <c r="C61" s="16" t="inlineStr">
        <is>
          <t>Türkçe ajan görev şablon paketi</t>
        </is>
      </c>
      <c r="D61" s="16" t="inlineStr">
        <is>
          <t>içerik</t>
        </is>
      </c>
      <c r="E61" s="16" t="inlineStr">
        <is>
          <t>Kod yazmayıp ajana iş veren Türkiye'deki ürün yöneticisi ve yeni başlayan geliştirici</t>
        </is>
      </c>
      <c r="F61" s="16" t="inlineStr">
        <is>
          <t>Ajana ne isteyeceğini bilmemek: görevi kabul ölçütlü, Türkçe ve doğru kalıpla yazmak</t>
        </is>
      </c>
      <c r="G61" s="16" t="inlineStr">
        <is>
          <t>İlk yan projeyi başlatmak ya da bir Türkçe videoda görev paketi gösterimini görmek</t>
        </is>
      </c>
      <c r="H61" s="16" t="inlineStr">
        <is>
          <t>Türkçe şablon seti (SaaS MVP, eklenti, mobil, veri boru hattı), terim sözlüğü ve kısa eğitim videosu; araç gerekmeden okunur</t>
        </is>
      </c>
      <c r="I61" s="16" t="inlineStr">
        <is>
          <t>490 TL tek seferlik; 14 gün iade</t>
        </is>
      </c>
      <c r="J61" s="16" t="inlineStr">
        <is>
          <t>Türkçe YouTube kısa videosu ve X Türkçe geliştirici topluluğu</t>
        </is>
      </c>
      <c r="K61" s="16" t="inlineStr">
        <is>
          <t>LinkedIn ürün yöneticisi ağı, Türkçe girişimcilik toplulukları, e-posta bülteni, eğitmenlerle paket ortaklığı</t>
        </is>
      </c>
      <c r="L61" s="16" t="inlineStr">
        <is>
          <t>4 şablonu Türkçe yaz; 3 dakikalık ekran kaydı çek; 10 tanıdık denemeciye ücretsiz gönderip geri bildirim iste</t>
        </is>
      </c>
      <c r="M61" s="16" t="inlineStr">
        <is>
          <t>4 Türkçe şablon, terim sözlüğü, 3 dakikalık video, tek sayfalık satış sayfası ve havale ya da sanal POS ile satış</t>
        </is>
      </c>
      <c r="N61" s="16" t="inlineStr">
        <is>
          <t>Türkiye'deki ürün yöneticisi ve yeni geliştirici</t>
        </is>
      </c>
      <c r="O61" s="16" t="inlineStr">
        <is>
          <t>içerik</t>
        </is>
      </c>
      <c r="P61" s="16" t="inlineStr">
        <is>
          <t>mevzuata bağlı</t>
        </is>
      </c>
    </row>
    <row r="62">
      <c r="A62" s="16" t="inlineStr">
        <is>
          <t>ajan-gozlem-paneli-a</t>
        </is>
      </c>
      <c r="B62" s="16" t="inlineStr">
        <is>
          <t>Ajan gözlem paneli</t>
        </is>
      </c>
      <c r="C62" s="16" t="inlineStr">
        <is>
          <t>Koruyucu Pro içinde Gözlem Paneli (tek seferlik lisans)</t>
        </is>
      </c>
      <c r="D62" s="16" t="inlineStr">
        <is>
          <t>yazılım ürünü</t>
        </is>
      </c>
      <c r="E62" s="16" t="inlineStr">
        <is>
          <t>16 GB Mac'te Claude Code ve Codex'i yan yana kullanan bağımsız geliştirici</t>
        </is>
      </c>
      <c r="F62" s="16" t="inlineStr">
        <is>
          <t>Ne kadar harcadım ve makine bir ajan daha kaldırır mı sorusunu, parayı ve belleği tek ekranda görmek</t>
        </is>
      </c>
      <c r="G62" s="16" t="inlineStr">
        <is>
          <t>Ajan çalışırken makinenin donması ya da abonelik limitine beklenmedik çarpma</t>
        </is>
      </c>
      <c r="H62" s="16" t="inlineStr">
        <is>
          <t>Ücretsiz statik rapor çekirdeği; Pro'da canlı panel, bütçe uyarısı ve karantina listesi</t>
        </is>
      </c>
      <c r="I62" s="16" t="inlineStr">
        <is>
          <t>Koruyucu Pro 19 USD tek seferlik (912 TL), lansmanda 15 USD; pano ayrı satılmaz, Pro'ya katkısı sayılır</t>
        </is>
      </c>
      <c r="J62" s="16" t="inlineStr">
        <is>
          <t>GitHub deposu ve Show HN gönderisi; panel görseli README'nin ilk görseli</t>
        </is>
      </c>
      <c r="K62" s="16" t="inlineStr">
        <is>
          <t>Reddit r/ClaudeAI ve r/macapps gönderileri; Homebrew tap; orkestratör projelerine entegrasyon PR'ı</t>
        </is>
      </c>
      <c r="L62" s="16" t="inlineStr">
        <is>
          <t>Beta için iç çevreden 5 kişi ile 5 gönüllüyü bulup davet etmek; statik raporu verip ccusage ile sayı paritesini sınamak</t>
        </is>
      </c>
      <c r="M62" s="16" t="inlineStr">
        <is>
          <t>Claude ve Codex okuyucuları, fiyat tablosu, ücretsiz statik HTML rapor, Pro menü çubuğu paneli; Gemini ve iç marka ibareleri kaldırılmış</t>
        </is>
      </c>
      <c r="N62" s="16" t="inlineStr">
        <is>
          <t>Bağımsız geliştirici, 16 GB Mac</t>
        </is>
      </c>
      <c r="O62" s="16" t="inlineStr">
        <is>
          <t>topluluk</t>
        </is>
      </c>
      <c r="P62" s="16" t="inlineStr">
        <is>
          <t>KVKK</t>
        </is>
      </c>
    </row>
    <row r="63">
      <c r="A63" s="16" t="inlineStr">
        <is>
          <t>ajan-gozlem-paneli-b</t>
        </is>
      </c>
      <c r="B63" s="16" t="inlineStr">
        <is>
          <t>Ajan gözlem paneli</t>
        </is>
      </c>
      <c r="C63" s="16" t="inlineStr">
        <is>
          <t>Ajanslar için aylık proje bazlı yapay zekâ maliyet raporu</t>
        </is>
      </c>
      <c r="D63" s="16" t="inlineStr">
        <is>
          <t>hizmet</t>
        </is>
      </c>
      <c r="E63" s="16" t="inlineStr">
        <is>
          <t>Müşterilerine yazılım teslim eden 5-20 kişilik web ve uygulama ajansı sahibi</t>
        </is>
      </c>
      <c r="F63" s="16" t="inlineStr">
        <is>
          <t>Ay sonunda ekibin yapay zekâ harcamasını projelere paylaştırıp faturaya ya da marj tablosuna yansıtmak</t>
        </is>
      </c>
      <c r="G63" s="16" t="inlineStr">
        <is>
          <t>Ay başı fatura günü ya da müşterinin yapay zekâ kullanımı ve maliyeti sorusu</t>
        </is>
      </c>
      <c r="H63" s="16" t="inlineStr">
        <is>
          <t>Ekibin dışa aktardığı kullanım dosyalarından aylık proje bazlı maliyet raporu ve CSV; ham günlük müşteriye gitmez</t>
        </is>
      </c>
      <c r="I63" s="16" t="inlineStr">
        <is>
          <t>1.500 TL aylık, en çok 5 geliştirici, en çok 15 proje</t>
        </is>
      </c>
      <c r="J63" s="16" t="inlineStr">
        <is>
          <t>LinkedIn'de ajans sahiplerine kurucu mesajı ve 15 dakikalık demo</t>
        </is>
      </c>
      <c r="K63" s="16" t="inlineStr">
        <is>
          <t>İstanbul ajans sahipleri WhatsApp grupları; Webrazzi bülteni ve etkinlikleri; IAB Türkiye üye ağı</t>
        </is>
      </c>
      <c r="L63" s="16" t="inlineStr">
        <is>
          <t>Kurucu kendi proje verisiyle örnek rapor çıkarıp 20 ajans sahibi listesi hazırlar ve 5'ine yazar</t>
        </is>
      </c>
      <c r="M63" s="16" t="inlineStr">
        <is>
          <t>Claude ve Codex okuyucuları, çalışma klasörü ile proje eşleme, aylık CSV ve redakte rapor; kurucu elle teslim eder, panel gerekmez</t>
        </is>
      </c>
      <c r="N63" s="16" t="inlineStr">
        <is>
          <t>5-20 kişilik yazılım ajansı</t>
        </is>
      </c>
      <c r="O63" s="16" t="inlineStr">
        <is>
          <t>kurucu satışı</t>
        </is>
      </c>
      <c r="P63" s="16" t="inlineStr">
        <is>
          <t>KVKK</t>
        </is>
      </c>
    </row>
    <row r="64">
      <c r="A64" s="16" t="inlineStr">
        <is>
          <t>ajan-gozlem-paneli-c</t>
        </is>
      </c>
      <c r="B64" s="16" t="inlineStr">
        <is>
          <t>Ajan gözlem paneli</t>
        </is>
      </c>
      <c r="C64" s="16" t="inlineStr">
        <is>
          <t>Yapay zekâ iş izleme kartı kurulum paketi</t>
        </is>
      </c>
      <c r="D64" s="16" t="inlineStr">
        <is>
          <t>hizmet</t>
        </is>
      </c>
      <c r="E64" s="16" t="inlineStr">
        <is>
          <t>Yapay zekâ işlerini ve ajanlarını çalıştıran, bekleyen işi görmek isteyen operasyon sorumlusu</t>
        </is>
      </c>
      <c r="F64" s="16" t="inlineStr">
        <is>
          <t>Bekleyen, bayat ve bilinmeyen durumdaki ajan işlerini tek kartta görünür kılmak</t>
        </is>
      </c>
      <c r="G64" s="16" t="inlineStr">
        <is>
          <t>Takılı kalan ya da bayat bir ajan işinin fark edilmeden gecikmesi</t>
        </is>
      </c>
      <c r="H64" s="16" t="inlineStr">
        <is>
          <t>Anonim gerçek anlık görüntü sözleşmesine bağlı tek bekleme kartı ve olay adaptörü; kabule bağlı ödeme</t>
        </is>
      </c>
      <c r="I64" s="16" t="inlineStr">
        <is>
          <t>18.000 TL tek seferlik sabit paket</t>
        </is>
      </c>
      <c r="J64" s="16" t="inlineStr">
        <is>
          <t>Kamuya açık, anonim telemetri örneği ve hikâye sayfası (henüz adlandırılmış hedef yok)</t>
        </is>
      </c>
      <c r="K64" s="16" t="inlineStr">
        <is>
          <t>Mevcut ilişkilerden birebir tanıtım; yapay zekâ operasyonu topluluk gönderisi</t>
        </is>
      </c>
      <c r="L64" s="16" t="inlineStr">
        <is>
          <t>Üç durumlu örnek veriyi bağlayıp bayat ve bilinmeyen durumu gösteren kartı yayımlamak</t>
        </is>
      </c>
      <c r="M64" s="16" t="inlineStr">
        <is>
          <t>Tek bekleme kartı, belgelenmiş olay adaptörü, üç durum örneği, bayat ve bilinmeyen durum gösterimi; canlı telemetri, giriş ve kalıcılık yok</t>
        </is>
      </c>
      <c r="N64" s="16" t="inlineStr">
        <is>
          <t>Yapay zekâ operasyon sorumlusu</t>
        </is>
      </c>
      <c r="O64" s="16" t="inlineStr">
        <is>
          <t>içerik</t>
        </is>
      </c>
      <c r="P64" s="16" t="inlineStr">
        <is>
          <t>yok</t>
        </is>
      </c>
    </row>
    <row r="65">
      <c r="A65" s="16" t="inlineStr">
        <is>
          <t>ai-first-tasarim-a</t>
        </is>
      </c>
      <c r="B65" s="16" t="inlineStr">
        <is>
          <t>Yapay zekâ öncelikli tasarım sistemi rehberi</t>
        </is>
      </c>
      <c r="C65" s="16" t="inlineStr">
        <is>
          <t>Türkçe yapay zekâ öncelikli tasarım sistemi rehberi (e-kitap)</t>
        </is>
      </c>
      <c r="D65" s="16" t="inlineStr">
        <is>
          <t>içerik</t>
        </is>
      </c>
      <c r="E65" s="16" t="inlineStr">
        <is>
          <t>Türkçe öğrenen frontend geliştiriciler ve tasarım sistemi sahibi frontend liderleri</t>
        </is>
      </c>
      <c r="F65" s="16" t="inlineStr">
        <is>
          <t>Token, varyant matrisi ve yapay zekâ komut yüzeyini Türkçe, çalışan Storybook örnekleriyle kurmayı öğrenmek</t>
        </is>
      </c>
      <c r="G65" s="16" t="inlineStr">
        <is>
          <t>Yöneticiden yapay zekâ özelliği talebi, iş görüşmesinde tasarım sistemi sorusu, yeni marka teması</t>
        </is>
      </c>
      <c r="H65" s="16" t="inlineStr">
        <is>
          <t>10 bölümlük Türkçe e-kitap, prompt katalogları, çalışan Storybook örneği; ilk bölüm ücretsiz, 14 gün iade</t>
        </is>
      </c>
      <c r="I65" s="16" t="inlineStr">
        <is>
          <t>399 ₺ KDV dahil (332,5 ₺ net); toplu ajans lisansı 10 koltuk 2.500 ₺</t>
        </is>
      </c>
      <c r="J65" s="16" t="inlineStr">
        <is>
          <t>GitHub deposu ve Storybook demosu, LinkedIn yazı dizisi, Show HN ve r/reactjs lansmanı</t>
        </is>
      </c>
      <c r="K65" s="16" t="inlineStr">
        <is>
          <t>Frontend Istanbul ve React Istanbul toplulukları, kendi Frontend Atlası alıcı listesi, bülten</t>
        </is>
      </c>
      <c r="L65" s="16" t="inlineStr">
        <is>
          <t>bekleyen değişiklikleri toparla, ilk bölümü ücretsiz yayınla, Shopier ön satış sayfasını aç</t>
        </is>
      </c>
      <c r="M65" s="16" t="inlineStr">
        <is>
          <t>Bölüm 1-5 ve çalışan örnek; ön satış ile ilk 10 alıcıya %40 indirimli satış, kalan bölümler sonradan</t>
        </is>
      </c>
      <c r="N65" s="16" t="inlineStr">
        <is>
          <t>Türk frontend geliştirici ve lider</t>
        </is>
      </c>
      <c r="O65" s="16" t="inlineStr">
        <is>
          <t>içerik</t>
        </is>
      </c>
      <c r="P65" s="16" t="inlineStr">
        <is>
          <t>mevzuata bağlı</t>
        </is>
      </c>
    </row>
    <row r="66">
      <c r="A66" s="16" t="inlineStr">
        <is>
          <t>ai-first-tasarim-b</t>
        </is>
      </c>
      <c r="B66" s="16" t="inlineStr">
        <is>
          <t>Yapay zekâ öncelikli tasarım sistemi rehberi</t>
        </is>
      </c>
      <c r="C66" s="16" t="inlineStr">
        <is>
          <t>Ekip atölyesi ve 2 haftalık tasarım sistemi kurulumu</t>
        </is>
      </c>
      <c r="D66" s="16" t="inlineStr">
        <is>
          <t>hizmet</t>
        </is>
      </c>
      <c r="E66" s="16" t="inlineStr">
        <is>
          <t>15-60 kişilik yazılım şirketinin CTO'su ya da mühendislik müdürü; 5-30 kişilik ürün ekibinin lideri</t>
        </is>
      </c>
      <c r="F66" s="16" t="inlineStr">
        <is>
          <t>Tasarım sistemi hattını (token, Storybook, CI) ve yapay zekâ komut yüzeyini ilk 3 bileşenle işe yarar hale getirmek</t>
        </is>
      </c>
      <c r="G66" s="16" t="inlineStr">
        <is>
          <t>Yönetimden yapay zekâ özelliği baskısı, erişilebilirlik şartı, frontend ayrılığı, yeni çeyrek bütçesi</t>
        </is>
      </c>
      <c r="H66" s="16" t="inlineStr">
        <is>
          <t>1 günlük atölye 25.000 ₺; yükseltme olarak 2 haftalık sabit kapsamlı kurulum 120.000 ₺: token hattı, 3 bileşen, Storybook yayını</t>
        </is>
      </c>
      <c r="I66" s="16" t="inlineStr">
        <is>
          <t>Atölye 25.000 ₺ + KDV; kurulum 120.000 ₺ + KDV; kapsam dışı iş ek fiyat</t>
        </is>
      </c>
      <c r="J66" s="16" t="inlineStr">
        <is>
          <t>Kurucunun LinkedIn ağı, açık kaynak bileşenin Storybook demosu, mevcut tanıdık ekipler</t>
        </is>
      </c>
      <c r="K66" s="16" t="inlineStr">
        <is>
          <t>Frontend Istanbul ve React Istanbul'da 15 dk konuşma, rehber (A) alıcıları, yazılım ajansları</t>
        </is>
      </c>
      <c r="L66" s="16" t="inlineStr">
        <is>
          <t>Bileşeni npm'e ve Storybook'u herkese açık yayına al, 10 frontend liderine kişisel mesajla demo öner</t>
        </is>
      </c>
      <c r="M66" s="16" t="inlineStr">
        <is>
          <t>Önce atölye (1 gün, ekibin kendi ekranında token çıkarma); ilgi varsa 2 haftalık kurulum teklifi, sabit kapsamlı</t>
        </is>
      </c>
      <c r="N66" s="16" t="inlineStr">
        <is>
          <t>Yazılım şirketi CTO'su, frontend lideri</t>
        </is>
      </c>
      <c r="O66" s="16" t="inlineStr">
        <is>
          <t>kurucu satışı</t>
        </is>
      </c>
      <c r="P66" s="16" t="inlineStr">
        <is>
          <t>mevzuata bağlı</t>
        </is>
      </c>
    </row>
    <row r="67">
      <c r="A67" s="16" t="inlineStr">
        <is>
          <t>ai-first-tasarim-c</t>
        </is>
      </c>
      <c r="B67" s="16" t="inlineStr">
        <is>
          <t>Yapay zekâ öncelikli tasarım sistemi rehberi</t>
        </is>
      </c>
      <c r="C67" s="16" t="inlineStr">
        <is>
          <t>Ajansa sabit fiyatlı form ve tablo kabul dosyası paketi</t>
        </is>
      </c>
      <c r="D67" s="16" t="inlineStr">
        <is>
          <t>hizmet</t>
        </is>
      </c>
      <c r="E67" s="16" t="inlineStr">
        <is>
          <t>Yapay zekâ ile arayüz geliştiren yazılım ajansı sahibi ya da küçük SaaS ürün ekibi</t>
        </is>
      </c>
      <c r="F67" s="16" t="inlineStr">
        <is>
          <t>Aynı ekranın farklı token ve davranışla tekrar üretilmesini önlemek: tek form ve tek tablo için sözleşmeli kabul dosyası</t>
        </is>
      </c>
      <c r="G67" s="16" t="inlineStr">
        <is>
          <t>Çok ajanla geliştirme sırasında ekran tutarsızlığı, müşteri incelemesinde reddedilen arayüz, teslim öncesi kabul</t>
        </is>
      </c>
      <c r="H67" s="16" t="inlineStr">
        <is>
          <t>Tek form ve tek tablo için durum, token, izinli etkileşim ve test kabul dosyası; ücretli kurulum ve denetim</t>
        </is>
      </c>
      <c r="I67" s="16" t="inlineStr">
        <is>
          <t>18.000 ₺ + KDV sabit paket (yaklaşık 12 saat, saat başı 1.500 ₺ varsayımı)</t>
        </is>
      </c>
      <c r="J67" s="16" t="inlineStr">
        <is>
          <t>Kurucunun LinkedIn ağında ajans sahipleri; ücretsiz kabul örneği ve öncesi-sonrası ekran demosu</t>
        </is>
      </c>
      <c r="K67" s="16" t="inlineStr">
        <is>
          <t>Frontend Istanbul ve React Istanbul toplulukları, rehber (A) alıcıları</t>
        </is>
      </c>
      <c r="L67" s="16" t="inlineStr">
        <is>
          <t>Aynı formun iki ayrı üretimini ve kabul dosyasıyla üçüncü üretimini gösteren anonim örneği hazırla</t>
        </is>
      </c>
      <c r="M67" s="16" t="inlineStr">
        <is>
          <t>Tek form ve tek tablo kabul dosyası; bir ajansla ücretli pilot, rehber şablonları ve token hattı hazır malzeme</t>
        </is>
      </c>
      <c r="N67" s="16" t="inlineStr">
        <is>
          <t>Yazılım ajansı ve küçük SaaS ekibi</t>
        </is>
      </c>
      <c r="O67" s="16" t="inlineStr">
        <is>
          <t>kurucu satışı</t>
        </is>
      </c>
      <c r="P67" s="16" t="inlineStr">
        <is>
          <t>yok</t>
        </is>
      </c>
    </row>
    <row r="68">
      <c r="A68" s="16" t="inlineStr">
        <is>
          <t>aicommandcard-a</t>
        </is>
      </c>
      <c r="B68" s="16" t="inlineStr">
        <is>
          <t>AiCommandCard bileşeni</t>
        </is>
      </c>
      <c r="C68" s="16" t="inlineStr">
        <is>
          <t>QR menü ürününde AI asistan (₺999 plan katmanı)</t>
        </is>
      </c>
      <c r="D68" s="16" t="inlineStr">
        <is>
          <t>yazılım ürünü</t>
        </is>
      </c>
      <c r="E68" s="16" t="inlineStr">
        <is>
          <t>Kurucunun QR menü ürünündeki ₺499 planlı kafe ve restoran sahipleri; 3-10 şubeli yerel zincirler</t>
        </is>
      </c>
      <c r="F68" s="16" t="inlineStr">
        <is>
          <t>Menü açıklaması, yorum yanıtı ve fiyat kararı için yazı yükünü azaltmak; yapay zekanın hiçbir şeyi onaysız değiştirmemesi</t>
        </is>
      </c>
      <c r="G68" s="16" t="inlineStr">
        <is>
          <t>Yeni sezon menüsü, olumsuz yorum, zam kararı, 7 günlük denemenin sonunda kota dolması</t>
        </is>
      </c>
      <c r="H68" s="16" t="inlineStr">
        <is>
          <t>Üst çubuktaki kartla AI taslak: önizle, onayla, geri al. Günlük 50 istek ₺999 planda dahil; ₺499 planda 7 gün deneme</t>
        </is>
      </c>
      <c r="I68" s="16" t="inlineStr">
        <is>
          <t>₺999/ay plan (₺500 fark); ek kota +1.000 istek ₺199/ay (varsayım)</t>
        </is>
      </c>
      <c r="J68" s="16" t="inlineStr">
        <is>
          <t>Menü ürününün uygulama içi duyurusu ve 5 pilot kafeyle yüz yüze görüşme</t>
        </is>
      </c>
      <c r="K68" s="16" t="inlineStr">
        <is>
          <t>Kahve zinciri şubeleri (3 ay ücretsiz deneme; zincir sözleşmesi ayrı üst planda, ek gelir olmayabilir); haftalık 'AI'nın yazdıkları' e-postası</t>
        </is>
      </c>
      <c r="L68" s="16" t="inlineStr">
        <is>
          <t>5 pilot kafeye ücretsiz 1 ay: karta menü açıklaması önerisi ve yorum yanıtı taslağı ekle, kabul oranını ölç</t>
        </is>
      </c>
      <c r="M68" s="16" t="inlineStr">
        <is>
          <t>Kart paneli üst çubuğuna girer; iki eylem (menü metni, yorum yanıtı); önizle-onayla-geri al; günlük kota; AI geçidi ve kullanım günlüğü</t>
        </is>
      </c>
      <c r="N68" s="16" t="inlineStr">
        <is>
          <t>Kafe ve restoran sahibi, küçük zincir</t>
        </is>
      </c>
      <c r="O68" s="16" t="inlineStr">
        <is>
          <t>mevcut müşteri</t>
        </is>
      </c>
      <c r="P68" s="16" t="inlineStr">
        <is>
          <t>KVKK</t>
        </is>
      </c>
    </row>
    <row r="69">
      <c r="A69" s="16" t="inlineStr">
        <is>
          <t>aicommandcard-b</t>
        </is>
      </c>
      <c r="B69" s="16" t="inlineStr">
        <is>
          <t>AiCommandCard bileşeni</t>
        </is>
      </c>
      <c r="C69" s="16" t="inlineStr">
        <is>
          <t>Sabit kapsamlı AiCommandCard entegrasyon paketi</t>
        </is>
      </c>
      <c r="D69" s="16" t="inlineStr">
        <is>
          <t>hizmet</t>
        </is>
      </c>
      <c r="E69" s="16" t="inlineStr">
        <is>
          <t>Yönetim paneline AI erişimi ekleyen ajanslar, serbest React geliştiricileri ve 3-10 kişilik ürün ekipleri</t>
        </is>
      </c>
      <c r="F69" s="16" t="inlineStr">
        <is>
          <t>Sohbet balonu yerine erişilebilir, kabul-ret-yükleme-hata durumlu tek AI yüzeyini 1 haftada kendi paneline bağlatmak</t>
        </is>
      </c>
      <c r="G69" s="16" t="inlineStr">
        <is>
          <t>Ürün sahibinden gelen 'panele AI ekleyelim' talebi; müşteri demosu öncesi teslim süresi baskısı</t>
        </is>
      </c>
      <c r="H69" s="16" t="inlineStr">
        <is>
          <t>Kartı müşterinin React paneline bağla, 4 durum, klavye turu, 320 px kontrolü, 1 revizyon; 5 iş günü, sabit fiyat</t>
        </is>
      </c>
      <c r="I69" s="16" t="inlineStr">
        <is>
          <t>12.000 ₺ tek seferlik (yaklaşık 250 $, varsayım); kapsam dışı iş ayrı teklif</t>
        </is>
      </c>
      <c r="J69" s="16" t="inlineStr">
        <is>
          <t>GitHub deposu ve Storybook demosu; r/reactjs gönderisi; Kommunity React Turkey topluluğu (1.025 üye)</t>
        </is>
      </c>
      <c r="K69" s="16" t="inlineStr">
        <is>
          <t>React Türkiye Telegram grubu (122 üye), Turkish Developers Discord (5.889 üye); LinkedIn'de 30 saniyelik kart videosu; kişisel ağdaki ajanslar</t>
        </is>
      </c>
      <c r="L69" s="16" t="inlineStr">
        <is>
          <t>Lisansı onaylat, paketi derle, demo ve fiyatlı paket sayfasını yayımla; 20 ajans ve ekibe kısa mesaj gönder</t>
        </is>
      </c>
      <c r="M69" s="16" t="inlineStr">
        <is>
          <t>Lisans ve paket derlemesi (5-6 gün), tek sayfalık paket tanımı, kabul listesi, örnek teslim; hizmet elle teslim edilir</t>
        </is>
      </c>
      <c r="N69" s="16" t="inlineStr">
        <is>
          <t>Ajans ve React ekipleri</t>
        </is>
      </c>
      <c r="O69" s="16" t="inlineStr">
        <is>
          <t>topluluk</t>
        </is>
      </c>
      <c r="P69" s="16" t="inlineStr">
        <is>
          <t>yok</t>
        </is>
      </c>
    </row>
    <row r="70">
      <c r="A70" s="16" t="inlineStr">
        <is>
          <t>atonota-denetim-a</t>
        </is>
      </c>
      <c r="B70" s="16" t="inlineStr">
        <is>
          <t>WordPress site sağlığı ve pazarlama denetimi eklentisi (atonota)</t>
        </is>
      </c>
      <c r="C70" s="16" t="inlineStr">
        <is>
          <t>Ücretsiz puan kartı eklentisi ve Pro yıllık lisans</t>
        </is>
      </c>
      <c r="D70" s="16" t="inlineStr">
        <is>
          <t>eklenti</t>
        </is>
      </c>
      <c r="E70" s="16" t="inlineStr">
        <is>
          <t>Reklam harcayan Türk KOBİ WordPress ve WooCommerce sitesi sahipleri, siteyi yöneten serbest geliştiriciler</t>
        </is>
      </c>
      <c r="F70" s="16" t="inlineStr">
        <is>
          <t>Sitenin izleme kodları, hız, SEO temeli, sosyal etiketler ve çerez bandı açısından hazır olup olmadığını 2 dakikada öğrenmek ve Türkçe düzeltme listesi almak</t>
        </is>
      </c>
      <c r="G70" s="16" t="inlineStr">
        <is>
          <t>Reklam dönüşümünün ölçülememesi, yeni kampanya öncesi kontrol, çerez bandı ve KVKK haberleri</t>
        </is>
      </c>
      <c r="H70" s="16" t="inlineStr">
        <is>
          <t>Ücretsiz 7 kontrollü puan kartı; Pro ile haftalık otomatik tarama, bozulma e-postası, geçmiş grafiği ve PDF rapor; 14 gün iade</t>
        </is>
      </c>
      <c r="I70" s="16" t="inlineStr">
        <is>
          <t>Pro 1.990 TL/yıl, tek site (yaklaşık 39 USD); ücretsiz sürüm sınırsız</t>
        </is>
      </c>
      <c r="J70" s="16" t="inlineStr">
        <is>
          <t>wordpress.org eklenti dizini; Türkçe ve İngilizce readme, ekran görüntüleri, arama terimleri</t>
        </is>
      </c>
      <c r="K70" s="16" t="inlineStr">
        <is>
          <t>WP Türkiye topluluğu yanıtları ve Türkçe rehber sayfaları; kurucunun yaklaşık 10 kurumsal site müşterisi yalnız ilk kurulum ve vaka kaynağı (hedef alıcı değil)</t>
        </is>
      </c>
      <c r="L70" s="16" t="inlineStr">
        <is>
          <t>7 kontrollü MVP'yi yazmak, 10 mevcut müşteri sitesine kurmak ve wordpress.org başvurusunu göndermek</t>
        </is>
      </c>
      <c r="M70" s="16" t="inlineStr">
        <is>
          <t>7 kontrol (SEO, hız, izleme, sosyal, güvenlik başlıkları, çerez bandı, eklenti güncelliği), puan kartı, lisans doğrulama, Pro kapısı; PDF ve portal sonra</t>
        </is>
      </c>
      <c r="N70" s="16" t="inlineStr">
        <is>
          <t>Türk KOBİ WordPress sahipleri ve serbest geliştiriciler</t>
        </is>
      </c>
      <c r="O70" s="16" t="inlineStr">
        <is>
          <t>pazar yeri</t>
        </is>
      </c>
      <c r="P70" s="16" t="inlineStr">
        <is>
          <t>KVKK</t>
        </is>
      </c>
    </row>
    <row r="71">
      <c r="A71" s="16" t="inlineStr">
        <is>
          <t>atonota-denetim-b</t>
        </is>
      </c>
      <c r="B71" s="16" t="inlineStr">
        <is>
          <t>WordPress site sağlığı ve pazarlama denetimi eklentisi (atonota)</t>
        </is>
      </c>
      <c r="C71" s="16" t="inlineStr">
        <is>
          <t>Ajans lisansı: 25 site için aylık müşteri sağlık raporu</t>
        </is>
      </c>
      <c r="D71" s="16" t="inlineStr">
        <is>
          <t>eklenti</t>
        </is>
      </c>
      <c r="E71" s="16" t="inlineStr">
        <is>
          <t>10-50 WordPress müşterisi olan Türk küçük ajanslar ve serbest geliştiriciler (ajans sahibi karar verir)</t>
        </is>
      </c>
      <c r="F71" s="16" t="inlineStr">
        <is>
          <t>Her müşteri sitesi için aylık pazarlama sağlığı raporunu elle hazırlama emeğini (müşteri başına 1-2 saat) otomatik logolu PDF'e indirmek</t>
        </is>
      </c>
      <c r="G71" s="16" t="inlineStr">
        <is>
          <t>Ay sonu rapor haftası, yeni müşteri sözleşmesindeki aylık rapor maddesi, kopuk izleme kodunun müşteri şikayetiyle fark edilmesi</t>
        </is>
      </c>
      <c r="H71" s="16" t="inlineStr">
        <is>
          <t>25 site için ajans lisansı: haftalık tarama, logolu PDF rapor, bozulma uyarısı; ilk 3 sitede ücretsiz deneme, 14 gün iade</t>
        </is>
      </c>
      <c r="I71" s="16" t="inlineStr">
        <is>
          <t>7.150 TL/yıl, 25 site (yaklaşık 149 USD; site başına yaklaşık 286 TL)</t>
        </is>
      </c>
      <c r="J71" s="16" t="inlineStr">
        <is>
          <t>Kurucunun birebir ajans görüşmeleri; LinkedIn ve R10.net portföylerinden çıkarılan 30 ajanslık liste</t>
        </is>
      </c>
      <c r="K71" s="16" t="inlineStr">
        <is>
          <t>WP Türkiye topluluğu, serbest geliştirici iş ortağı kodu (yüzde 20) ve barındırma firması ortaklığı</t>
        </is>
      </c>
      <c r="L71" s="16" t="inlineStr">
        <is>
          <t>30 ajanslık liste çıkarmak, kurucunun müşteri sitesinde çalışan taramayı 15 dakikalık canlı demoyla 10 ajansa göstermek</t>
        </is>
      </c>
      <c r="M71" s="16" t="inlineStr">
        <is>
          <t>Tarama (7 kontrol), logolu PDF, el ile verilen lisans anahtarı ve 25 site sınırı; portal, otomatik ödeme ve çok kiracı sonra</t>
        </is>
      </c>
      <c r="N71" s="16" t="inlineStr">
        <is>
          <t>Küçük WordPress ajansları ve serbest geliştiriciler</t>
        </is>
      </c>
      <c r="O71" s="16" t="inlineStr">
        <is>
          <t>kurucu satışı</t>
        </is>
      </c>
      <c r="P71" s="16" t="inlineStr">
        <is>
          <t>KVKK</t>
        </is>
      </c>
    </row>
    <row r="72">
      <c r="A72" s="16" t="inlineStr">
        <is>
          <t>atonota-denetim-c</t>
        </is>
      </c>
      <c r="B72" s="16" t="inlineStr">
        <is>
          <t>WordPress site sağlığı ve pazarlama denetimi eklentisi (atonota)</t>
        </is>
      </c>
      <c r="C72" s="16" t="inlineStr">
        <is>
          <t>Ajans için müşteri kabul ve teslim kaydı hizmeti (pilot)</t>
        </is>
      </c>
      <c r="D72" s="16" t="inlineStr">
        <is>
          <t>hizmet</t>
        </is>
      </c>
      <c r="E72" s="16" t="inlineStr">
        <is>
          <t>20-100 retainer siteli 3-15 kişilik WordPress ajansları (ajans sahibi ve proje yöneticisi)</t>
        </is>
      </c>
      <c r="F72" s="16" t="inlineStr">
        <is>
          <t>Müşteriye yapılan değişikliği önce/sonra kanıtıyla göstermek, müşteri kabulünü kaydetmek ve sınırsız revizyonu ücretli kapsama bağlamak</t>
        </is>
      </c>
      <c r="G72" s="16" t="inlineStr">
        <is>
          <t>Küçük revizyonların sınırsızlaşması, rapor ve itiraz yönetimi emeği, retainer yenileme görüşmesi</t>
        </is>
      </c>
      <c r="H72" s="16" t="inlineStr">
        <is>
          <t>Aylık yönetilen kabul akışı: 40 siteye kadar değişiklik kaydı, doğrulama çıktısı, müşteri kabul bağlantısı, kabul edilen iş dışa aktarımı</t>
        </is>
      </c>
      <c r="I72" s="16" t="inlineStr">
        <is>
          <t>5.000 TL/ay, 40 siteye kadar (test varsayımı; GPT stratejisi)</t>
        </is>
      </c>
      <c r="J72" s="16" t="inlineStr">
        <is>
          <t>Ajans ilişkisi doğrulanmadı: kurucunun tanıdığı ajanslar üzerinden iki anonim kabul örneği; ajansın kendi müşterisine sunacağı rapor</t>
        </is>
      </c>
      <c r="K72" s="16" t="inlineStr">
        <is>
          <t>Bakım aracı kullanan ajanslara yanına kabul demosu; ücretsiz salt okunur WordPress bağlayıcısı</t>
        </is>
      </c>
      <c r="L72" s="16" t="inlineStr">
        <is>
          <t>Mevcut çıktıları elle birleştirip bir ajansın tek müşterisi için ilk kabul kaydını çıkarmak</t>
        </is>
      </c>
      <c r="M72" s="16" t="inlineStr">
        <is>
          <t>Tek ajans, tek müşteri alanı, elle toplanan önce/sonra kanıtı, kabul/ret bağlantısı (süreli ve iptal edilebilir); siteye yazan ajan yok</t>
        </is>
      </c>
      <c r="N72" s="16" t="inlineStr">
        <is>
          <t>Küçük WordPress ajansları (retainer siteli)</t>
        </is>
      </c>
      <c r="O72" s="16" t="inlineStr">
        <is>
          <t>kurucu satışı</t>
        </is>
      </c>
      <c r="P72" s="16" t="inlineStr">
        <is>
          <t>KVKK</t>
        </is>
      </c>
    </row>
    <row r="73">
      <c r="A73" s="16" t="inlineStr">
        <is>
          <t>b2b-bilesenler-a</t>
        </is>
      </c>
      <c r="B73" s="16" t="inlineStr">
        <is>
          <t>B2B ürün sayfası ve animasyon bileşenleri</t>
        </is>
      </c>
      <c r="C73" s="16" t="inlineStr">
        <is>
          <t>Site paketine ek: ürün sayfası ve hareket blokları</t>
        </is>
      </c>
      <c r="D73" s="16" t="inlineStr">
        <is>
          <t>hizmet</t>
        </is>
      </c>
      <c r="E73" s="16" t="inlineStr">
        <is>
          <t>İhracat yapan üretici KOBİ; kurucunun kurumsal site hizmetinin mevcut ve yeni müşterisi</t>
        </is>
      </c>
      <c r="F73" s="16" t="inlineStr">
        <is>
          <t>Yabancı alıcının ürün sayfasında minimum sipariş, kademeli fiyat ve teklif formunu kendi dilinde görüp teklif istemesi</t>
        </is>
      </c>
      <c r="G73" s="16" t="inlineStr">
        <is>
          <t>Yeni site teklifi ya da sitenin çok dilli yenilenmesi; yabancı alıcıdan gelen ürün bilgisi talebi</t>
        </is>
      </c>
      <c r="H73" s="16" t="inlineStr">
        <is>
          <t>Site paketine ek: 2 paradigmalı ürün detay bloğu, 5 dil, teklif formu, 320 px kabul testi; ayrı hareket paketi (hero, sayaç, galeri)</t>
        </is>
      </c>
      <c r="I73" s="16" t="inlineStr">
        <is>
          <t>Ürün sayfası bloğu 20.000 ₺ + KDV; hareket paketi 10.000 ₺ + KDV; tek seferlik, %50 avans</t>
        </is>
      </c>
      <c r="J73" s="16" t="inlineStr">
        <is>
          <t>Kurucunun mevcut site müşterileri ve kurumsal site teklifine eklenen blok satırı (önce/sonra ekran görüntüsüyle)</t>
        </is>
      </c>
      <c r="K73" s="16" t="inlineStr">
        <is>
          <t>LinkedIn'de '12 ürün sayfası yaklaşımı' yazısı; mali müşavir ve ihracat danışmanı yönlendirmesi</t>
        </is>
      </c>
      <c r="L73" s="16" t="inlineStr">
        <is>
          <t>Medya ve animasyon lisans envanterini çıkar, lisansı doğrulanmayan içeriği çıkar; ilk iki paradigmayı Astro'ya taşı; mevcut müşterilere 2 teklif gönder</t>
        </is>
      </c>
      <c r="M73" s="16" t="inlineStr">
        <is>
          <t>Mevcut yayındaki bir üretici sitesinde 2 paradigmalı (klasik ve B2B satış masası) ürün sayfası, 5 dil, teklif formu, ölçülmüş 320 px ve hız raporu</t>
        </is>
      </c>
      <c r="N73" s="16" t="inlineStr">
        <is>
          <t>İhracatçı üretici KOBİ</t>
        </is>
      </c>
      <c r="O73" s="16" t="inlineStr">
        <is>
          <t>mevcut müşteri</t>
        </is>
      </c>
      <c r="P73" s="16" t="inlineStr">
        <is>
          <t>KVKK</t>
        </is>
      </c>
    </row>
    <row r="74">
      <c r="A74" s="16" t="inlineStr">
        <is>
          <t>b2b-bilesenler-b</t>
        </is>
      </c>
      <c r="B74" s="16" t="inlineStr">
        <is>
          <t>B2B ürün sayfası ve animasyon bileşenleri</t>
        </is>
      </c>
      <c r="C74" s="16" t="inlineStr">
        <is>
          <t>Tek ürün, iki mobil alıcı görünümü (sabit paket)</t>
        </is>
      </c>
      <c r="D74" s="16" t="inlineStr">
        <is>
          <t>hizmet</t>
        </is>
      </c>
      <c r="E74" s="16" t="inlineStr">
        <is>
          <t>B2B katalog ajansı ya da B2B e-ticaret frontend ekibi; karar verici proje sorumlusu</t>
        </is>
      </c>
      <c r="F74" s="16" t="inlineStr">
        <is>
          <t>Tek ürünün sayfasını yabancı dilde ve sağdan sola yazımla, iki alıcı tipi (kurumsal ve bireysel) için telefonda doğru göstermek</t>
        </is>
      </c>
      <c r="G74" s="16" t="inlineStr">
        <is>
          <t>Yeni katalog ya da pazar yeri projesinde ürün sayfası tasarım kararı; Arapça ya da Almanca alıcıya açılma</t>
        </is>
      </c>
      <c r="H74" s="16" t="inlineStr">
        <is>
          <t>1 ürün, 2 mobil alıcı görünümü, dil ve para birimi biçimi, sağdan sola yazım, 1 revizyon, çalışan sayfa ve kaynak kod; 5 iş günü</t>
        </is>
      </c>
      <c r="I74" s="16" t="inlineStr">
        <is>
          <t>12.000 ₺ + KDV, tek seferlik, %50 avans; ek ürün görünümü 4.000 ₺</t>
        </is>
      </c>
      <c r="J74" s="16" t="inlineStr">
        <is>
          <t>Kurucunun LinkedIn profili ve herkese açık B2B ürün sayfası karşılaştırma demosu</t>
        </is>
      </c>
      <c r="K74" s="16" t="inlineStr">
        <is>
          <t>Astro Discord ve r/astrojs gösterimi; awesome-astro listesine PR; mali müşavir ve danışman tanışmaları</t>
        </is>
      </c>
      <c r="L74" s="16" t="inlineStr">
        <is>
          <t>Karşılaştırma demosuna 2 görünümü temiz, lisanslı medyayla yerleştir; 20 ajans ve ekip belirle; 10'una kişiye özel örnek gönder</t>
        </is>
      </c>
      <c r="M74" s="16" t="inlineStr">
        <is>
          <t>Lisanslı yer tutucu medyayla tek ürünün 2 mobil görünümü, 3 dilde ve sağdan sola yazımla; 320 px ve odak testi yeşil</t>
        </is>
      </c>
      <c r="N74" s="16" t="inlineStr">
        <is>
          <t>B2B katalog ajansı ve frontend ekibi</t>
        </is>
      </c>
      <c r="O74" s="16" t="inlineStr">
        <is>
          <t>kurucu satışı</t>
        </is>
      </c>
      <c r="P74" s="16" t="inlineStr">
        <is>
          <t>yok</t>
        </is>
      </c>
    </row>
    <row r="75">
      <c r="A75" s="16" t="inlineStr">
        <is>
          <t>b2b-bilesenler-c</t>
        </is>
      </c>
      <c r="B75" s="16" t="inlineStr">
        <is>
          <t>B2B ürün sayfası ve animasyon bileşenleri</t>
        </is>
      </c>
      <c r="C75" s="16" t="inlineStr">
        <is>
          <t>Astro ve Tailwind ürün sayfası şablonu (kod satışı)</t>
        </is>
      </c>
      <c r="D75" s="16" t="inlineStr">
        <is>
          <t>kod satışı</t>
        </is>
      </c>
      <c r="E75" s="16" t="inlineStr">
        <is>
          <t>Bireysel Astro ve Tailwind geliştiricisi ya da küçük ajans</t>
        </is>
      </c>
      <c r="F75" s="16" t="inlineStr">
        <is>
          <t>Sıfırdan kurmadan B2B ürün sayfası şablonuyla ihracatçı müşteri sitesi çıkarmak</t>
        </is>
      </c>
      <c r="G75" s="16" t="inlineStr">
        <is>
          <t>Müşteri için çok dilli ürün sayfası ihtiyacı; ücretsiz şablonların sağdan sola yazımı desteklememesi</t>
        </is>
      </c>
      <c r="H75" s="16" t="inlineStr">
        <is>
          <t>4 paradigmalı Astro ve Tailwind şablon, 5 dil, sağdan sola yazım, kademeli fiyat ve teklif formu, lisans metni; destek yok</t>
        </is>
      </c>
      <c r="I75" s="16" t="inlineStr">
        <is>
          <t>49 $ (2.352 ₺) kişisel, 149 $ ekip lisansı; tek seferlik</t>
        </is>
      </c>
      <c r="J75" s="16" t="inlineStr">
        <is>
          <t>Lemon Squeezy mağazası; bağlantı animasyon sitesi, GitHub MIT bloklar ve LinkedIn yazısından</t>
        </is>
      </c>
      <c r="K75" s="16" t="inlineStr">
        <is>
          <t>ThemeForest yazar başvurusu; Astro temalar galerisi ve awesome-astro listesi</t>
        </is>
      </c>
      <c r="L75" s="16" t="inlineStr">
        <is>
          <t>Medya ve animasyon lisans temizliği; 4 paradigmayı derlenmiş Astro'ya taşı; Lemon Squeezy hesabı aç ve test ödemesi yap</t>
        </is>
      </c>
      <c r="M75" s="16" t="inlineStr">
        <is>
          <t>4 paradigmalı şablon, yer tutucu medya, kurulum belgesi, demo sitesi, ticari lisans metni ve ücretsiz örnek sürüm</t>
        </is>
      </c>
      <c r="N75" s="16" t="inlineStr">
        <is>
          <t>Astro ve Tailwind geliştiricisi</t>
        </is>
      </c>
      <c r="O75" s="16" t="inlineStr">
        <is>
          <t>pazar yeri</t>
        </is>
      </c>
      <c r="P75" s="16" t="inlineStr">
        <is>
          <t>lisans</t>
        </is>
      </c>
    </row>
    <row r="76">
      <c r="A76" s="16" t="inlineStr">
        <is>
          <t>banner-post-a</t>
        </is>
      </c>
      <c r="B76" s="16" t="inlineStr">
        <is>
          <t>Banner ve gönderi üretim sistemi</t>
        </is>
      </c>
      <c r="C76" s="16" t="inlineStr">
        <is>
          <t>Zabuno içinde kampanya görseli modülü</t>
        </is>
      </c>
      <c r="D76" s="16" t="inlineStr">
        <is>
          <t>eklenti</t>
        </is>
      </c>
      <c r="E76" s="16" t="inlineStr">
        <is>
          <t>Zabuno'yu kullanan kafe ve restoran sahipleri; 1 şubeli, Instagram'ı kendi yönetiyor</t>
        </is>
      </c>
      <c r="F76" s="16" t="inlineStr">
        <is>
          <t>Menü verisinden Instagram postu, masa standı ve QR afişi üretmek; fiyat değişince görseli güncel tutmak</t>
        </is>
      </c>
      <c r="G76" s="16" t="inlineStr">
        <is>
          <t>Menü ya da fiyat değişikliği, günlük kampanya, yeni ürün</t>
        </is>
      </c>
      <c r="H76" s="16" t="inlineStr">
        <is>
          <t>6 şablon, logo ve renk tokenları, PNG ve PDF dışa aktarma; modül ₺999 plana dahil</t>
        </is>
      </c>
      <c r="I76" s="16" t="inlineStr">
        <is>
          <t>₺500 plan farkı; ₺499 plandan ₺999 plana geçiş (ayda)</t>
        </is>
      </c>
      <c r="J76" s="16" t="inlineStr">
        <is>
          <t>Zabuno ürün içi: menü kaydı sonrası görsel üret çağrısı ve pilot restoranlara WhatsApp</t>
        </is>
      </c>
      <c r="K76" s="16" t="inlineStr">
        <is>
          <t>Zabuno rehber sayfaları (restoran instagram post şablonu, masa standı qr menü afişi)</t>
        </is>
      </c>
      <c r="L76" s="16" t="inlineStr">
        <is>
          <t>Zabuno tahsilatını açmak; 5 pilot kafeye ilk 3 görseli elle üretip göndermek</t>
        </is>
      </c>
      <c r="M76" s="16" t="inlineStr">
        <is>
          <t>6 şablon + PNG dışa aktarma (Instagram kare, hikaye, Facebook kapak, masa standı A6, QR afiş A4, günün menüsü); PDF ve animasyon sonra</t>
        </is>
      </c>
      <c r="N76" s="16" t="inlineStr">
        <is>
          <t>kafe ve restoran</t>
        </is>
      </c>
      <c r="O76" s="16" t="inlineStr">
        <is>
          <t>ürün içi</t>
        </is>
      </c>
      <c r="P76" s="16" t="inlineStr">
        <is>
          <t>mevzuata bağlı</t>
        </is>
      </c>
    </row>
    <row r="77">
      <c r="A77" s="16" t="inlineStr">
        <is>
          <t>banner-post-b</t>
        </is>
      </c>
      <c r="B77" s="16" t="inlineStr">
        <is>
          <t>Banner ve gönderi üretim sistemi</t>
        </is>
      </c>
      <c r="C77" s="16" t="inlineStr">
        <is>
          <t>Sosyal görsel hizmet paketi (sabit kapsam)</t>
        </is>
      </c>
      <c r="D77" s="16" t="inlineStr">
        <is>
          <t>hizmet</t>
        </is>
      </c>
      <c r="E77" s="16" t="inlineStr">
        <is>
          <t>Mevcut kurumsal site müşterileri ve bir kahve zinciri; sosyal medya görselini kendi yapan küçük işletme</t>
        </is>
      </c>
      <c r="F77" s="16" t="inlineStr">
        <is>
          <t>Marka şablon seti ve düzenli sosyal görsel üretimi; bugün elle ya da ajansla yapılıyor</t>
        </is>
      </c>
      <c r="G77" s="16" t="inlineStr">
        <is>
          <t>Aylık içerik takvimi, kampanya dönemi, kurumsal site tesliminden sonra marka tutarlılığı ihtiyacı</t>
        </is>
      </c>
      <c r="H77" s="16" t="inlineStr">
        <is>
          <t>15 şablon, ayda 12 görsel ve 4 hikaye, 48 saat teslim; Canva ile üretilir</t>
        </is>
      </c>
      <c r="I77" s="16" t="inlineStr">
        <is>
          <t>Ayda ₺7.500, kurulum ₺5.000 (kurucu varsayımı, teklif iletilmedi); ilk ay memnuniyet garantisi</t>
        </is>
      </c>
      <c r="J77" s="16" t="inlineStr">
        <is>
          <t>Kurucu satışı: 3 mevcut müşteriye doğrudan teklif</t>
        </is>
      </c>
      <c r="K77" s="16" t="inlineStr">
        <is>
          <t>Kurumsal site tesliminde ek paket olarak sunmak ve Zabuno müşterilerine WhatsApp</t>
        </is>
      </c>
      <c r="L77" s="16" t="inlineStr">
        <is>
          <t>3 mevcut müşteriye örnek 3 görsel ve tek sayfa teklif göndermek</t>
        </is>
      </c>
      <c r="M77" s="16" t="inlineStr">
        <is>
          <t>15 şablonluk marka seti kurulumu ve ilk ay 12 görsel + 4 hikaye; sabit kapsam, ek istek ayrı fiyat</t>
        </is>
      </c>
      <c r="N77" s="16" t="inlineStr">
        <is>
          <t>küçük işletme, kurumsal site müşterisi</t>
        </is>
      </c>
      <c r="O77" s="16" t="inlineStr">
        <is>
          <t>mevcut müşteri</t>
        </is>
      </c>
      <c r="P77" s="16" t="inlineStr">
        <is>
          <t>yok</t>
        </is>
      </c>
    </row>
    <row r="78">
      <c r="A78" s="16" t="inlineStr">
        <is>
          <t>banner-post-c</t>
        </is>
      </c>
      <c r="B78" s="16" t="inlineStr">
        <is>
          <t>Banner ve gönderi üretim sistemi</t>
        </is>
      </c>
      <c r="C78" s="16" t="inlineStr">
        <is>
          <t>Ajanslara toplu banner paketi (CSV)</t>
        </is>
      </c>
      <c r="D78" s="16" t="inlineStr">
        <is>
          <t>hizmet</t>
        </is>
      </c>
      <c r="E78" s="16" t="inlineStr">
        <is>
          <t>Çok ürün postu hazırlayan küçük ajans; kreatif operasyon sorumlusu (büyük ajans Claude planında anti-persona)</t>
        </is>
      </c>
      <c r="F78" s="16" t="inlineStr">
        <is>
          <t>Aynı briefin boyut ve içerik varyantlarını elle çoğaltmak</t>
        </is>
      </c>
      <c r="G78" s="16" t="inlineStr">
        <is>
          <t>Kampanya dönemi, çok ürünlü müşteri brifi, aynı gün birden çok boyut teslimi</t>
        </is>
      </c>
      <c r="H78" s="16" t="inlineStr">
        <is>
          <t>İzinli markadan üç boyutta on görsel; CSV girdisiyle toplu üretim ve dışa aktarma kiti</t>
        </is>
      </c>
      <c r="I78" s="16" t="inlineStr">
        <is>
          <t>Pilot paket ₺6.000 tek seferlik (varsayım; kaynaklarda fiyat yok)</t>
        </is>
      </c>
      <c r="J78" s="16" t="inlineStr">
        <is>
          <t>Kurucu satışı: ajans kreatif operasyon sorumlularına doğrudan mesaj</t>
        </is>
      </c>
      <c r="K78" s="16" t="inlineStr">
        <is>
          <t>Herkese açık brief ve teslim örneği sayfası</t>
        </is>
      </c>
      <c r="L78" s="16" t="inlineStr">
        <is>
          <t>Tek izinli alıcı ve tek marka seçmek; ilk iki günde kabul ölçütünü yazmak</t>
        </is>
      </c>
      <c r="M78" s="16" t="inlineStr">
        <is>
          <t>Tek brief, 10 görsel x 3 boyut, review paketi ve dışa aktarma kiti; renderer olmadan elle ya da betikle</t>
        </is>
      </c>
      <c r="N78" s="16" t="inlineStr">
        <is>
          <t>ajans, kreatif operasyon</t>
        </is>
      </c>
      <c r="O78" s="16" t="inlineStr">
        <is>
          <t>kurucu satışı</t>
        </is>
      </c>
      <c r="P78" s="16" t="inlineStr">
        <is>
          <t>yok</t>
        </is>
      </c>
    </row>
    <row r="79">
      <c r="A79" s="16" t="inlineStr">
        <is>
          <t>karar-sihirbazi-a</t>
        </is>
      </c>
      <c r="B79" s="16" t="inlineStr">
        <is>
          <t>Teknoloji yığını karar sihirbazı</t>
        </is>
      </c>
      <c r="C79" s="16" t="inlineStr">
        <is>
          <t>Ajanslara white-label keşif sihirbazı aboneliği</t>
        </is>
      </c>
      <c r="D79" s="16" t="inlineStr">
        <is>
          <t>yazılım ürünü</t>
        </is>
      </c>
      <c r="E79" s="16" t="inlineStr">
        <is>
          <t>2-8 kişilik web ajansları ve küçük yazılım evleri; satın alma kararı ajans sahibinde</t>
        </is>
      </c>
      <c r="F79" s="16" t="inlineStr">
        <is>
          <t>Gelen fiyat taleplerinde keşif görüşmesi yapmadan kapsamı anlamak ve teklifi 3-7 günde değil 1 günde çıkarmak</t>
        </is>
      </c>
      <c r="G79" s="16" t="inlineStr">
        <is>
          <t>Yeni müşteriden gelen 'fiyat ver' talebi; hafta sonu teklif yazmak zorunda kalmak; geç verilip kaybedilen teklif</t>
        </is>
      </c>
      <c r="H79" s="16" t="inlineStr">
        <is>
          <t>Sitede yayınlanan koşullu form, stack ve efor bandı önerisi, ajans logolu teklif taslağı PDF, lead listesi ve webhook; 90 günlük pilot, kurulum bedava</t>
        </is>
      </c>
      <c r="I79" s="16" t="inlineStr">
        <is>
          <t>Starter 490 ₺/ay, Pro 990 ₺/ay, Pro kurulumu 5.000 ₺ tek sefer; yıllık ödemede 2 ay indirim</t>
        </is>
      </c>
      <c r="J79" s="16" t="inlineStr">
        <is>
          <t>LinkedIn'de elle seçilen ajans sahiplerine ayda 50 kişisel mesaj ve 20 dakikalık canlı demo</t>
        </is>
      </c>
      <c r="K79" s="16" t="inlineStr">
        <is>
          <t>Mali müşavir ve hosting satıcılarıyla %20 paylı ortaklık; açık kaynak motor deposu; ajans dizinleri</t>
        </is>
      </c>
      <c r="L79" s="16" t="inlineStr">
        <is>
          <t>Dahili sürümü kurucunun kendi hizmet sayfasına gömüp 10 gerçek keşif toplamak; 3 tanıdık ajansa pilot teklifi vermek</t>
        </is>
      </c>
      <c r="M79" s="16" t="inlineStr">
        <is>
          <t>Form, öneri, PDF, e-posta ve basit ajans paneli; PDF ve panel sıfırdan (ürün yaklaşık %30 hazır). Tek kiracı gibi çalışan, 8 profilli, ajans diline çevrilmiş sürüm</t>
        </is>
      </c>
      <c r="N79" s="16" t="inlineStr">
        <is>
          <t>Küçük web ajansı ve yazılım evi</t>
        </is>
      </c>
      <c r="O79" s="16" t="inlineStr">
        <is>
          <t>kurucu satışı</t>
        </is>
      </c>
      <c r="P79" s="16" t="inlineStr">
        <is>
          <t>KVKK</t>
        </is>
      </c>
    </row>
    <row r="80">
      <c r="A80" s="16" t="inlineStr">
        <is>
          <t>karar-sihirbazi-b</t>
        </is>
      </c>
      <c r="B80" s="16" t="inlineStr">
        <is>
          <t>Teknoloji yığını karar sihirbazı</t>
        </is>
      </c>
      <c r="C80" s="16" t="inlineStr">
        <is>
          <t>Proje başı stack karar dosyası (sabit kapsamlı hizmet)</t>
        </is>
      </c>
      <c r="D80" s="16" t="inlineStr">
        <is>
          <t>hizmet</t>
        </is>
      </c>
      <c r="E80" s="16" t="inlineStr">
        <is>
          <t>Teklif öncesi stack kararı veren ajanslarda çözüm mimarı ve teklif sahibi; küçük yazılım evleri</t>
        </is>
      </c>
      <c r="F80" s="16" t="inlineStr">
        <is>
          <t>Bir müşteri projesi için beş kritik teknoloji seçimini alternatif, gerekçe ve sonuçla yazılı hâle getirip müşteriye savunmak</t>
        </is>
      </c>
      <c r="G80" s="16" t="inlineStr">
        <is>
          <t>Yeni proje teklifi öncesi stack seçimi; müşterinin 'neden bu teknoloji' sorusu; kapsam kayması yaşayan önceki proje</t>
        </is>
      </c>
      <c r="H80" s="16" t="inlineStr">
        <is>
          <t>Tek proje için 60 dakikalık çalıştay ve beş seçimlik karar dosyası; 3 iş gününde teslim, bir tur revizyon; kabulde ödeme</t>
        </is>
      </c>
      <c r="I80" s="16" t="inlineStr">
        <is>
          <t>6.000 ₺ sabit fiyat (varsayım), KDV hariç; havale ve fatura, kabulde tahsilat</t>
        </is>
      </c>
      <c r="J80" s="16" t="inlineStr">
        <is>
          <t>Kurucunun tanıdık ajans çevresine ve LinkedIn'de elle seçilen ajans sahiplerine birebir mesaj</t>
        </is>
      </c>
      <c r="K80" s="16" t="inlineStr">
        <is>
          <t>Açık kaynak sihirbaz demosundan gelen talepler; mali müşavir ve hosting satıcısı ortakları; ajans toplulukları</t>
        </is>
      </c>
      <c r="L80" s="16" t="inlineStr">
        <is>
          <t>Kurucunun kendi bir projesi için örnek karar dosyası üretmek; izinli anonim örnekle 10 ajans sahibine mesaj atmak</t>
        </is>
      </c>
      <c r="M80" s="16" t="inlineStr">
        <is>
          <t>Mevcut sihirbazla elle yürütülen 60 dakikalık çalıştay ve şablonlu beş seçimlik karar dosyası; yazılım geliştirmesi yok</t>
        </is>
      </c>
      <c r="N80" s="16" t="inlineStr">
        <is>
          <t>Ajans çözüm mimarı ve teklif sahibi</t>
        </is>
      </c>
      <c r="O80" s="16" t="inlineStr">
        <is>
          <t>kurucu satışı</t>
        </is>
      </c>
      <c r="P80" s="16" t="inlineStr">
        <is>
          <t>yok</t>
        </is>
      </c>
    </row>
    <row r="81">
      <c r="A81" s="16" t="inlineStr">
        <is>
          <t>karar-sihirbazi-c</t>
        </is>
      </c>
      <c r="B81" s="16" t="inlineStr">
        <is>
          <t>Teknoloji yığını karar sihirbazı</t>
        </is>
      </c>
      <c r="C81" s="16" t="inlineStr">
        <is>
          <t>Ajans için uyarlanmış keşif formu kiti (tek seferlik)</t>
        </is>
      </c>
      <c r="D81" s="16" t="inlineStr">
        <is>
          <t>kod satışı</t>
        </is>
      </c>
      <c r="E81" s="16" t="inlineStr">
        <is>
          <t>Kendi sitesine keşif formu koymak isteyen küçük web ajansları ve bağımsız geliştiriciler</t>
        </is>
      </c>
      <c r="F81" s="16" t="inlineStr">
        <is>
          <t>Fiyat talebi gelen müşteriye, görüşmeden önce doldurtulacak ajans markalı keşif formu ve kaba efor özeti elde etmek</t>
        </is>
      </c>
      <c r="G81" s="16" t="inlineStr">
        <is>
          <t>Yeni sitesini yayına alan ajans; 'önce fiyat' diyen müşteriyle sonuçsuz kalan görüşmeler</t>
        </is>
      </c>
      <c r="H81" s="16" t="inlineStr">
        <is>
          <t>Ajans diline çevrilmiş soru seti, 8 profil, gömülebilir statik form ve efor bandı özeti; kurulum, marka uyarlaması ve 1 saat eğitim; aboneliksiz</t>
        </is>
      </c>
      <c r="I81" s="16" t="inlineStr">
        <is>
          <t>5.000 ₺ tek sefer (planın kurulum ücreti), KDV hariç; kabulde havale ve fatura</t>
        </is>
      </c>
      <c r="J81" s="16" t="inlineStr">
        <is>
          <t>Kurucunun tanıdık ajans çevresine ve LinkedIn'de elle seçilen ajans sahiplerine birebir mesaj</t>
        </is>
      </c>
      <c r="K81" s="16" t="inlineStr">
        <is>
          <t>Açık kaynak motor deposu ve canlı demo; 'proje keşif formu' aramaları için içerik sayfaları; ajans toplulukları</t>
        </is>
      </c>
      <c r="L81" s="16" t="inlineStr">
        <is>
          <t>Soru bankasını ajans diline çevirmek ve kurucunun kendi hizmet sayfasına gömmek; 3 tanıdık ajansa kit teklifi vermek</t>
        </is>
      </c>
      <c r="M81" s="16" t="inlineStr">
        <is>
          <t>Ajans diline çevrilmiş 8 profilli, statik gömülebilir form ve ekranda efor bandı özeti; PDF, panel ve arka uç yok</t>
        </is>
      </c>
      <c r="N81" s="16" t="inlineStr">
        <is>
          <t>Küçük web ajansı ve bağımsız geliştirici</t>
        </is>
      </c>
      <c r="O81" s="16" t="inlineStr">
        <is>
          <t>kurucu satışı</t>
        </is>
      </c>
      <c r="P81" s="16" t="inlineStr">
        <is>
          <t>lisans</t>
        </is>
      </c>
    </row>
    <row r="82">
      <c r="A82" s="16" t="inlineStr">
        <is>
          <t>sunum-bi-hizmeti-a</t>
        </is>
      </c>
      <c r="B82" s="16" t="inlineStr">
        <is>
          <t>Sunum ve iş zekâsı çıktı hizmeti</t>
        </is>
      </c>
      <c r="C82" s="16" t="inlineStr">
        <is>
          <t>Katalogdan toplu markalı sunum seti (sabit paket)</t>
        </is>
      </c>
      <c r="D82" s="16" t="inlineStr">
        <is>
          <t>hizmet</t>
        </is>
      </c>
      <c r="E82" s="16" t="inlineStr">
        <is>
          <t>Kataloglu işletmelerin ve franchise veren zincirlerin pazarlama sorumluları; ayrıca fuar öncesi çok dilli sunum isteyen üreticiler</t>
        </is>
      </c>
      <c r="F82" s="16" t="inlineStr">
        <is>
          <t>Fiyat ya da ürün değişince 5-10 satış sunumunu aynı gün güncel, marka kurallarına uygun ve Türkçe hatasız tutmak</t>
        </is>
      </c>
      <c r="G82" s="16" t="inlineStr">
        <is>
          <t>Franchise başvuru dönemi, zam sonrası fiyat güncellemesi, fuar kaydı, yönetim kurulu toplantısı</t>
        </is>
      </c>
      <c r="H82" s="16" t="inlineStr">
        <is>
          <t>Katalog paketi: tema kurulumu, 5 sunum, PDF, e-posta şablonu, 48 saat teslim, 2 revizyon; önce müşterinin logosuyla 3 slaytlık ücretsiz örnek</t>
        </is>
      </c>
      <c r="I82" s="16" t="inlineStr">
        <is>
          <t>15.000 ₺ + KDV tek seferlik; çeyreklik güncelleme 3.000 ₺; havale ve EFT, peşin yüzde 50</t>
        </is>
      </c>
      <c r="J82" s="16" t="inlineStr">
        <is>
          <t>Mevcut kurumsal site müşterilerine birebir WhatsApp ve e-posta ile ücretsiz 3 slaytlık örnek teklifi</t>
        </is>
      </c>
      <c r="K82" s="16" t="inlineStr">
        <is>
          <t>LinkedIn birebir temas (haftada 15 pazarlama sorumlusu), kurumsal site yapan ortak ajanslar ve yüzde 15 gelir payı</t>
        </is>
      </c>
      <c r="L82" s="16" t="inlineStr">
        <is>
          <t>Üçüncü taraf şirketten kod ve marka için yazılı izin iste; izin yoksa çekirdeği python-pptx ile sıfırdan yazmaya başla</t>
        </is>
      </c>
      <c r="M82" s="16" t="inlineStr">
        <is>
          <t>Tema dosyası, katalog okuyucu, komut satırı, PDF çıktısı, bir demo marka ve 2 örnek sunum; ardından 3 slaytlık ücretsiz örnek ve ilk teklif</t>
        </is>
      </c>
      <c r="N82" s="16" t="inlineStr">
        <is>
          <t>Kataloglu KOBİ ve franchise pazarlama ekipleri</t>
        </is>
      </c>
      <c r="O82" s="16" t="inlineStr">
        <is>
          <t>mevcut müşteri</t>
        </is>
      </c>
      <c r="P82" s="16" t="inlineStr">
        <is>
          <t>lisans</t>
        </is>
      </c>
    </row>
    <row r="83">
      <c r="A83" s="16" t="inlineStr">
        <is>
          <t>sunum-bi-hizmeti-b</t>
        </is>
      </c>
      <c r="B83" s="16" t="inlineStr">
        <is>
          <t>Sunum ve iş zekâsı çıktı hizmeti</t>
        </is>
      </c>
      <c r="C83" s="16" t="inlineStr">
        <is>
          <t>Butik ajanslara çok markalı sunum üretim aboneliği</t>
        </is>
      </c>
      <c r="D83" s="16" t="inlineStr">
        <is>
          <t>hizmet</t>
        </is>
      </c>
      <c r="E83" s="16" t="inlineStr">
        <is>
          <t>5 ve üzeri müşteriye aylık kampanya sunumu hazırlayan 3-15 kişilik butik reklam ve pazarlama ajansları</t>
        </is>
      </c>
      <c r="F83" s="16" t="inlineStr">
        <is>
          <t>Her ay 8 müşteri için sunum yetiştirmek; tasarımcı darboğazını ve marka tutarsızlığını azaltmak</t>
        </is>
      </c>
      <c r="G83" s="16" t="inlineStr">
        <is>
          <t>Yeni müşteri onboarding'i, ay sonu kampanya raporu sıkışıklığı, tasarımcının ayrılması ya da izni</t>
        </is>
      </c>
      <c r="H83" s="16" t="inlineStr">
        <is>
          <t>Marka başına tema kurulumu, ayda sınırsız sunum üretimi (3 marka), öncelikli destek; ilk ay ücretsiz pilot</t>
        </is>
      </c>
      <c r="I83" s="16" t="inlineStr">
        <is>
          <t>Tema kurulumu 8.000 ₺ tek seferlik + 2.500 ₺/ay abonelik, KDV hariç</t>
        </is>
      </c>
      <c r="J83" s="16" t="inlineStr">
        <is>
          <t>LinkedIn'de İstanbul, Ankara ve İzmir ajans sahiplerine haftada 15 birebir not ve ücretsiz örnek teklifi</t>
        </is>
      </c>
      <c r="K83" s="16" t="inlineStr">
        <is>
          <t>Kurumsal site yapan ortak ajanslar (yaklaşık 10 ajans, yüzde 15 pay)</t>
        </is>
      </c>
      <c r="L83" s="16" t="inlineStr">
        <is>
          <t>Ücretsiz örnek formunu aç, 15 ajans sahibine birebir not gönder, bir ajansla tek müşterilik ücretsiz pilot yap</t>
        </is>
      </c>
      <c r="M83" s="16" t="inlineStr">
        <is>
          <t>Tek ajans için tek marka teması, katalog okuyucu, PDF ve pptx çıktısı; çok marka deposu ve üretim kuyruğu sonraya</t>
        </is>
      </c>
      <c r="N83" s="16" t="inlineStr">
        <is>
          <t>Butik reklam ve pazarlama ajansları</t>
        </is>
      </c>
      <c r="O83" s="16" t="inlineStr">
        <is>
          <t>kurucu satışı</t>
        </is>
      </c>
      <c r="P83" s="16" t="inlineStr">
        <is>
          <t>lisans</t>
        </is>
      </c>
    </row>
    <row r="84">
      <c r="A84" s="16" t="inlineStr">
        <is>
          <t>sunum-bi-hizmeti-c</t>
        </is>
      </c>
      <c r="B84" s="16" t="inlineStr">
        <is>
          <t>Sunum ve iş zekâsı çıktı hizmeti</t>
        </is>
      </c>
      <c r="C84" s="16" t="inlineStr">
        <is>
          <t>Danışmana tek kaynaktan yönetici karar dosyası üretimi</t>
        </is>
      </c>
      <c r="D84" s="16" t="inlineStr">
        <is>
          <t>hizmet</t>
        </is>
      </c>
      <c r="E84" s="16" t="inlineStr">
        <is>
          <t>Müşteri raporu hazırlayan bağımsız danışman ve analistler</t>
        </is>
      </c>
      <c r="F84" s="16" t="inlineStr">
        <is>
          <t>İzinli CSV ya da JSON veriden marka ve yazım tutarlı, 5 slaytlık yönetici karar dosyası çıkarıp her güncellemede yeniden üretmek</t>
        </is>
      </c>
      <c r="G84" s="16" t="inlineStr">
        <is>
          <t>Müşteri raporu teslim tarihi, aynı sunumun yeni verilerle tekrar hazırlanması, yönetici revizyon talebi</t>
        </is>
      </c>
      <c r="H84" s="16" t="inlineStr">
        <is>
          <t>Tek sunum paketi: kaynak dosya kontrolü, 5 slayt şablonu uyarlaması, pptx ve PDF, 2 revizyon, bir tekrar üretim hakkı</t>
        </is>
      </c>
      <c r="I84" s="16" t="inlineStr">
        <is>
          <t>8.000 ₺ + KDV tek seferlik; tekrar üretim planın güncelleme fiyatı olan 3.000 ₺ ile</t>
        </is>
      </c>
      <c r="J84" s="16" t="inlineStr">
        <is>
          <t>LinkedIn'de danışman ve analistlere birebir not ve ücretsiz 1 slaytlık örnek teklifi</t>
        </is>
      </c>
      <c r="K84" s="16" t="inlineStr">
        <is>
          <t>Mevcut kurumsal site müşterileri ve tanıdık danışmanlardan yönlendirme</t>
        </is>
      </c>
      <c r="L84" s="16" t="inlineStr">
        <is>
          <t>Kurgusal bir iş planı verisiyle aynı sunumu iki kez üretip örnek yap; 10 danışmana en çok tekrar düzenledikleri 3 slaytı sor</t>
        </is>
      </c>
      <c r="M84" s="16" t="inlineStr">
        <is>
          <t>Elle ve basit betikle: tek CSV girdisi, 5 slayt şablonu, Türkçe denetim ve PDF; katalog okuyucu, tema ve komut satırı yok</t>
        </is>
      </c>
      <c r="N84" s="16" t="inlineStr">
        <is>
          <t>Bağımsız danışman ve analist</t>
        </is>
      </c>
      <c r="O84" s="16" t="inlineStr">
        <is>
          <t>kurucu satışı</t>
        </is>
      </c>
      <c r="P84" s="16" t="inlineStr">
        <is>
          <t>lisans</t>
        </is>
      </c>
    </row>
    <row r="85">
      <c r="A85" s="16" t="inlineStr">
        <is>
          <t>ik-paneli-hizmeti-a</t>
        </is>
      </c>
      <c r="B85" s="16" t="inlineStr">
        <is>
          <t>İK paneli arayüz hizmeti</t>
        </is>
      </c>
      <c r="C85" s="16" t="inlineStr">
        <is>
          <t>SaaS satış demosu 7 günde (sabit paket)</t>
        </is>
      </c>
      <c r="D85" s="16" t="inlineStr">
        <is>
          <t>hizmet</t>
        </is>
      </c>
      <c r="E85" s="16" t="inlineStr">
        <is>
          <t>Ürünü henüz kodlanmamış seed öncesi SaaS kurucusu; yatırımcı görüşmesine tarih almış ekip</t>
        </is>
      </c>
      <c r="F85" s="16" t="inlineStr">
        <is>
          <t>Yatırımcıya ve ilk müşteriye 'çalışır gibi' gösterebileceği, kendi markalı, testli, telefonda açılan tıklanabilir bir demo elde etmek</t>
        </is>
      </c>
      <c r="G85" s="16" t="inlineStr">
        <is>
          <t>Yatırımcı görüşmesi tarihinin netleşmesi ya da ilk pilot müşterinin 'ürünü görebilir miyim' demesi</t>
        </is>
      </c>
      <c r="H85" s="16" t="inlineStr">
        <is>
          <t>Markasız kitten 7 iş gününde 25-35 ekranlı demo, 3 tema, sahte veri, AI simülasyonu, 2 revizyon, kod devri; sabit fiyat</t>
        </is>
      </c>
      <c r="I85" s="16" t="inlineStr">
        <is>
          <t>Lite 45.000 ₺ (3 iş günü), Pro 90.000 ₺ (7 iş günü), Pro + Sunum 130.000 ₺; %50 peşin, KDV hariç</t>
        </is>
      </c>
      <c r="J85" s="16" t="inlineStr">
        <is>
          <t>Kurucunun LinkedIn doğrudan mesajı ve kişisel içerik (haftada 25 kurucu ve ajans yöneticisine elle yazılmış mesaj)</t>
        </is>
      </c>
      <c r="K85" s="16" t="inlineStr">
        <is>
          <t>Mevcut ilişkiler (önceki sunum hizmeti müşterileri, rapor alanlar) ve kuluçka merkezi mentör ağı</t>
        </is>
      </c>
      <c r="L85" s="16" t="inlineStr">
        <is>
          <t>Hedef listesi (15 kurucu, 40 ajans) çıkar; 1 vitrin demo hazırla; 10 mevcut ilişkiyi ara; ilk 25 mesajı gönder</t>
        </is>
      </c>
      <c r="M85" s="16" t="inlineStr">
        <is>
          <t>Markasız kitin ayrı depoda yeniden üretimi, bir vitrin demo, fiyat sayfası, keşif formu ve tek sayfalık sözleşme; Lite paketi ile ilk satış</t>
        </is>
      </c>
      <c r="N85" s="16" t="inlineStr">
        <is>
          <t>Seed öncesi SaaS kurucusu ve yazılım evi</t>
        </is>
      </c>
      <c r="O85" s="16" t="inlineStr">
        <is>
          <t>kurucu satışı</t>
        </is>
      </c>
      <c r="P85" s="16" t="inlineStr">
        <is>
          <t>lisans</t>
        </is>
      </c>
    </row>
    <row r="86">
      <c r="A86" s="16" t="inlineStr">
        <is>
          <t>ik-paneli-hizmeti-b</t>
        </is>
      </c>
      <c r="B86" s="16" t="inlineStr">
        <is>
          <t>İK paneli arayüz hizmeti</t>
        </is>
      </c>
      <c r="C86" s="16" t="inlineStr">
        <is>
          <t>Ajanslara beyaz etiket aylık demo paketi</t>
        </is>
      </c>
      <c r="D86" s="16" t="inlineStr">
        <is>
          <t>hizmet</t>
        </is>
      </c>
      <c r="E86" s="16" t="inlineStr">
        <is>
          <t>5-30 kişilik İstanbul merkezli yazılım evi ve dijital ajans; satış müdürü ve ortak birlikte karar verir</t>
        </is>
      </c>
      <c r="F86" s="16" t="inlineStr">
        <is>
          <t>Teklif aşamasında müşteriyi canlı demoyla ikna edip rakip ajansı geçmek; teklif başına tasarımcı gününü azaltmak</t>
        </is>
      </c>
      <c r="G86" s="16" t="inlineStr">
        <is>
          <t>Büyük teklif öncesi ya da kaybedilen bir ihale; ayda 4-6 tekrarlayan teklif</t>
        </is>
      </c>
      <c r="H86" s="16" t="inlineStr">
        <is>
          <t>Müşterinin markasıyla 3 günde Lite demo; ajans adıyla, hizmet sağlayıcı görünmeden; ayda 1 demo taahhüdü, kod devri</t>
        </is>
      </c>
      <c r="I86" s="16" t="inlineStr">
        <is>
          <t>Ajans fiyatı Lite 36.000 ₺ (liste 45.000 ₺ eksi %20); demo başına, KDV hariç; %50 peşin</t>
        </is>
      </c>
      <c r="J86" s="16" t="inlineStr">
        <is>
          <t>Kurucunun LinkedIn doğrudan mesajı: 25 ajans satış ve iş geliştirme yöneticisi, haftada, elle yazılmış</t>
        </is>
      </c>
      <c r="K86" s="16" t="inlineStr">
        <is>
          <t>Kuluçka merkezi ve teknopark ağlarında 20 dakikalık atölye; yeni şirket kuran girişimlere mali müşavir ofisleri</t>
        </is>
      </c>
      <c r="L86" s="16" t="inlineStr">
        <is>
          <t>40 ajanslık liste çıkar; markasız bir vitrin demo hazırla; 5 ajansa ayda 1 demo teklifini elle yaz</t>
        </is>
      </c>
      <c r="M86" s="16" t="inlineStr">
        <is>
          <t>Lite kapsamı: 8-10 ekran, 1 tema, sahte veri, yayın; beyaz etiket alt bilgi kapalı; teslimde kısa devir notu</t>
        </is>
      </c>
      <c r="N86" s="16" t="inlineStr">
        <is>
          <t>Yazılım evi ve dijital ajans (5-30 kişi)</t>
        </is>
      </c>
      <c r="O86" s="16" t="inlineStr">
        <is>
          <t>ortak</t>
        </is>
      </c>
      <c r="P86" s="16" t="inlineStr">
        <is>
          <t>lisans</t>
        </is>
      </c>
    </row>
    <row r="87">
      <c r="A87" s="16" t="inlineStr">
        <is>
          <t>ik-paneli-hizmeti-c</t>
        </is>
      </c>
      <c r="B87" s="16" t="inlineStr">
        <is>
          <t>İK paneli arayüz hizmeti</t>
        </is>
      </c>
      <c r="C87" s="16" t="inlineStr">
        <is>
          <t>Puantaj mutabakatı kurulum ve dönem hizmeti</t>
        </is>
      </c>
      <c r="D87" s="16" t="inlineStr">
        <is>
          <t>hizmet</t>
        </is>
      </c>
      <c r="E87" s="16" t="inlineStr">
        <is>
          <t>100+ çalışanlı vardiyalı işletme (en az iki hareket ve izin kaynağı) ve çok müşterili bordro danışmanı</t>
        </is>
      </c>
      <c r="F87" s="16" t="inlineStr">
        <is>
          <t>PDKS ve izin dışa aktarımlarını aynı ay için mutabık puantaj özetine çevirmek; eksik ve çakışan hareketi bulmak</t>
        </is>
      </c>
      <c r="G87" s="16" t="inlineStr">
        <is>
          <t>Aylık bordro kapanışı; eksik çıkış ve vardiya çakışması kapanışı geciktirdiğinde</t>
        </is>
      </c>
      <c r="H87" s="16" t="inlineStr">
        <is>
          <t>Tek format için kurulum ve eşleme, her dönem istisna listesi, mevcut bordroya dışa aktarma; yeni sistem göçü yok</t>
        </is>
      </c>
      <c r="I87" s="16" t="inlineStr">
        <is>
          <t>Kurulum 6.000 ₺ + işletme başına ayda 4.000 ₺ (GPT deney paketi); KDV hariç</t>
        </is>
      </c>
      <c r="J87" s="16" t="inlineStr">
        <is>
          <t>Mali müşavir ve bordro danışmanı ofisleri: sentetik gece vardiyası kontrol listesi ve bir izinli müşteride pilot</t>
        </is>
      </c>
      <c r="K87" s="16" t="inlineStr">
        <is>
          <t>PDKS kurulum ve entegratör firmaları: tek format CSV denetleyici; ücretsiz sentetik örnek önizleme</t>
        </is>
      </c>
      <c r="L87" s="16" t="inlineStr">
        <is>
          <t>Bir PDKS dışa aktarım biçimi seç; sentetik gece vardiyası örnekleri yaz; 1 danışman ofisiyle pilot görüşmesi iste</t>
        </is>
      </c>
      <c r="M87" s="16" t="inlineStr">
        <is>
          <t>Tek format içe aktarma, eşleme ve reddedilen satır raporu, deterministik çakışma kuralları, dönem kilidi ve bordroya dışa aktarma</t>
        </is>
      </c>
      <c r="N87" s="16" t="inlineStr">
        <is>
          <t>Vardiyalı işletme ve bordro danışmanı</t>
        </is>
      </c>
      <c r="O87" s="16" t="inlineStr">
        <is>
          <t>ortak</t>
        </is>
      </c>
      <c r="P87" s="16" t="inlineStr">
        <is>
          <t>KVKK</t>
        </is>
      </c>
    </row>
    <row r="88">
      <c r="A88" s="16" t="inlineStr">
        <is>
          <t>ddd-renderer-a</t>
        </is>
      </c>
      <c r="B88" s="16" t="inlineStr">
        <is>
          <t>DDD modüler monolit rehberi ve JSON blok renderer</t>
        </is>
      </c>
      <c r="C88" s="16" t="inlineStr">
        <is>
          <t>E-kitap eki: 3 mimari şablonlu paket (149 ₺)</t>
        </is>
      </c>
      <c r="D88" s="16" t="inlineStr">
        <is>
          <t>içerik</t>
        </is>
      </c>
      <c r="E88" s="16" t="inlineStr">
        <is>
          <t>Kurucunun Türkçe mimari e-kitabını okuyan, modüler monoliti kendi projesinde uygulamak isteyen yazılım geliştirici</t>
        </is>
      </c>
      <c r="F88" s="16" t="inlineStr">
        <is>
          <t>DDD modüler monoliti okuyup kendi projesinde somut JSON şablon ve kontrol listesiyle uygulamak; boş sayfadan kurtulmak</t>
        </is>
      </c>
      <c r="G88" s="16" t="inlineStr">
        <is>
          <t>E-kitabı bitirmesi, ilk modüler monolit görevi ya da mülakat hazırlığı</t>
        </is>
      </c>
      <c r="H88" s="16" t="inlineStr">
        <is>
          <t>3 şablon (DDD modüler monolit, hexagonal, Frappe uygulaması): örnek mimari JSON, kontrol listesi, ADR şablonları ve uygulama rehberi; ücretsiz starter dosya</t>
        </is>
      </c>
      <c r="I88" s="16" t="inlineStr">
        <is>
          <t>149 ₺ tek seferlik (KDV dahil varsayıldı, net 124 ₺); ilk 10 alıcıya indirim</t>
        </is>
      </c>
      <c r="J88" s="16" t="inlineStr">
        <is>
          <t>Kurucunun e-kitap alıcı listesi (ticari ileti izinli) ve e-kitap sonu bağlantısı</t>
        </is>
      </c>
      <c r="K88" s="16" t="inlineStr">
        <is>
          <t>GitHub depo ve canlı örnek site; LinkedIn'de haftada 2 gönderilik 'bir sınır, bir karar' serisi</t>
        </is>
      </c>
      <c r="L88" s="16" t="inlineStr">
        <is>
          <t>Ücretsiz starter JSON ve 149 ₺ ön sipariş sayfasını yayımlamak; izinli listeye ve kişisel ağa duyurmak</t>
        </is>
      </c>
      <c r="M88" s="16" t="inlineStr">
        <is>
          <t>Mevcut blok motoruyla hatasız render olan 3 şablon, kontrol listesi, canlı örnek site ve Shopier satış sayfası; yeni motor ve CLI yazılmaz</t>
        </is>
      </c>
      <c r="N88" s="16" t="inlineStr">
        <is>
          <t>Türkçe konuşan yazılım geliştirici</t>
        </is>
      </c>
      <c r="O88" s="16" t="inlineStr">
        <is>
          <t>mevcut müşteri</t>
        </is>
      </c>
      <c r="P88" s="16" t="inlineStr">
        <is>
          <t>lisans</t>
        </is>
      </c>
    </row>
    <row r="89">
      <c r="A89" s="16" t="inlineStr">
        <is>
          <t>ddd-renderer-b</t>
        </is>
      </c>
      <c r="B89" s="16" t="inlineStr">
        <is>
          <t>DDD modüler monolit rehberi ve JSON blok renderer</t>
        </is>
      </c>
      <c r="C89" s="16" t="inlineStr">
        <is>
          <t>Uluslararası şablon paketleri (29-79 $) açık çekirdekle</t>
        </is>
      </c>
      <c r="D89" s="16" t="inlineStr">
        <is>
          <t>içerik</t>
        </is>
      </c>
      <c r="E89" s="16" t="inlineStr">
        <is>
          <t>Modüler monolite geçen 10-50 kişilik ekibin teknik lideri ve bağımsız mimar; İngilizce konuşan, yurt dışı</t>
        </is>
      </c>
      <c r="F89" s="16" t="inlineStr">
        <is>
          <t>Modül sınırlarını, bağımlılıkları ve ADR'leri belgelemek; her projede mimari belgeyi sıfırdan yazmamak</t>
        </is>
      </c>
      <c r="G89" s="16" t="inlineStr">
        <is>
          <t>İşe alım dalgası, büyük refactor öncesi, mimari gözden geçirme ya da aynı belgeyi ikinci kez yazma anı</t>
        </is>
      </c>
      <c r="H89" s="16" t="inlineStr">
        <is>
          <t>Açık çekirdek ücretsiz; tek stil paketi 29 $, 4 stilli demet 79 $: örnek mimari JSON, kontrol listesi, ADR şablonları, 12 ay güncelleme</t>
        </is>
      </c>
      <c r="I89" s="16" t="inlineStr">
        <is>
          <t>29 $ tekil, 79 $ demet; ortalama 49 $ (2.352 ₺ net); 14 gün iade</t>
        </is>
      </c>
      <c r="J89" s="16" t="inlineStr">
        <is>
          <t>GitHub depo ve canlı örnek site; r/softwarearchitecture ve dev.to makaleleri; LinkedIn mimari serisi</t>
        </is>
      </c>
      <c r="K89" s="16" t="inlineStr">
        <is>
          <t>Awesome listeleri ve ADR araç dizinleri; bağımsız mimar ağı; Structurizr topluluğuna uyumluluk yazısı</t>
        </is>
      </c>
      <c r="L89" s="16" t="inlineStr">
        <is>
          <t>Açık depo, starter JSON ve canlı örnek siteyi yayımlamak; dev.to'da 'modüler monolitte sınır nasıl yazılır' makalesi</t>
        </is>
      </c>
      <c r="M89" s="16" t="inlineStr">
        <is>
          <t>3 şablon, İngilizce arayüz ve README, canlı örnek site, yasal satıcı (MoR) üzerinden ödeme sayfası; CLI ve dışa aktarma kapı sonrası</t>
        </is>
      </c>
      <c r="N89" s="16" t="inlineStr">
        <is>
          <t>Teknik lider ve bağımsız mimar, yurt dışı</t>
        </is>
      </c>
      <c r="O89" s="16" t="inlineStr">
        <is>
          <t>içerik</t>
        </is>
      </c>
      <c r="P89" s="16" t="inlineStr">
        <is>
          <t>lisans</t>
        </is>
      </c>
    </row>
    <row r="90">
      <c r="A90" s="16" t="inlineStr">
        <is>
          <t>ddd-renderer-c</t>
        </is>
      </c>
      <c r="B90" s="16" t="inlineStr">
        <is>
          <t>DDD modüler monolit rehberi ve JSON blok renderer</t>
        </is>
      </c>
      <c r="C90" s="16" t="inlineStr">
        <is>
          <t>3 günlük sabit kapsamlı mimari değerlendirme hizmeti</t>
        </is>
      </c>
      <c r="D90" s="16" t="inlineStr">
        <is>
          <t>hizmet</t>
        </is>
      </c>
      <c r="E90" s="16" t="inlineStr">
        <is>
          <t>Modüler monolite geçen 10-50 kişilik yazılım ekibinin teknik lideri ya da küçük yazılım evi; Türkiye</t>
        </is>
      </c>
      <c r="F90" s="16" t="inlineStr">
        <is>
          <t>Mevcut sistemin modül sınırlarını, veri sahipliğini ve ADR'lerini modellemek; yeni gelen geliştiriciye tek sayfada anlatabilmek</t>
        </is>
      </c>
      <c r="G90" s="16" t="inlineStr">
        <is>
          <t>İşe alım dalgası, büyük refactor öncesi, modüller arası sahiplik çakışması ya da mimari gözden geçirme toplantısı</t>
        </is>
      </c>
      <c r="H90" s="16" t="inlineStr">
        <is>
          <t>3 günde mevcut sistemin mimari JSON modeli, gezilebilir site, modül sınırı ve sahipsiz modül raporu ile ADR taslakları; tek tur düzeltme</t>
        </is>
      </c>
      <c r="I90" s="16" t="inlineStr">
        <is>
          <t>50.000 ₺ + KDV, 3 iş günü, en çok 10 modül; fiyat varsayım, ücretli referans yok</t>
        </is>
      </c>
      <c r="J90" s="16" t="inlineStr">
        <is>
          <t>Kurucunun mevcut iki ürününde ücretsiz değerlendirme, anonim rapor örneği ve vaka çalışması; LinkedIn</t>
        </is>
      </c>
      <c r="K90" s="16" t="inlineStr">
        <is>
          <t>Yazılım evleri ve bağımsız mimar ağı (lead payı); GitHub canlı örnek site ve makaleler</t>
        </is>
      </c>
      <c r="L90" s="16" t="inlineStr">
        <is>
          <t>Kurucunun kendi ürününde 10 modüllü değerlendirmeyi yap, rapor örneğini anonimleştirip yayımla; 5 teknik liderle görüş</t>
        </is>
      </c>
      <c r="M90" s="16" t="inlineStr">
        <is>
          <t>Standart rapor şablonu, 3 günlük teslim listesi, gizlilik sözleşmesi şablonu, anonim örnek rapor ve vaka çalışması; yeni yazılım yok</t>
        </is>
      </c>
      <c r="N90" s="16" t="inlineStr">
        <is>
          <t>Teknik lider, küçük yazılım evi, Türkiye</t>
        </is>
      </c>
      <c r="O90" s="16" t="inlineStr">
        <is>
          <t>mevcut müşteri</t>
        </is>
      </c>
      <c r="P90" s="16" t="inlineStr">
        <is>
          <t>KVKK</t>
        </is>
      </c>
    </row>
    <row r="91">
      <c r="A91" s="16" t="inlineStr">
        <is>
          <t>devpanel-a</t>
        </is>
      </c>
      <c r="B91" s="16" t="inlineStr">
        <is>
          <t>Geliştirici paneli desenleri (devpanel)</t>
        </is>
      </c>
      <c r="C91" s="16" t="inlineStr">
        <is>
          <t>3 günlük onay, denetim ve yetki entegrasyon paketi</t>
        </is>
      </c>
      <c r="D91" s="16" t="inlineStr">
        <is>
          <t>hizmet</t>
        </is>
      </c>
      <c r="E91" s="16" t="inlineStr">
        <is>
          <t>10-50 kişilik SaaS ya da fintech ekibinde iç araç geliştiricisi ya da teknik lider; React ile yönetim paneli yazan ekip</t>
        </is>
      </c>
      <c r="F91" s="16" t="inlineStr">
        <is>
          <t>Panelde yıkıcı işlem onayı, değiştirilemez denetim günlüğü ve yetki matrisini sıfırdan yazmadan, test edilmiş bileşenlerle kurmak</t>
        </is>
      </c>
      <c r="G91" s="16" t="inlineStr">
        <is>
          <t>Müşteri denetim sorusu, yanlış toplu silme olayı ya da ekibe yeni bir süperadmin ekranı isteği</t>
        </is>
      </c>
      <c r="H91" s="16" t="inlineStr">
        <is>
          <t>Üç iş günü, sabit kapsam: isimle onay, denetim günlüğü ve yetki matrisi bileşenleri müşterinin React 19 projesine entegre edilir, testle teslim</t>
        </is>
      </c>
      <c r="I91" s="16" t="inlineStr">
        <is>
          <t>36.000 ₺ + KDV sabit (3 gün x 12.000 ₺); en çok 3 günlük paket</t>
        </is>
      </c>
      <c r="J91" s="16" t="inlineStr">
        <is>
          <t>LinkedIn'de 20 hedef geliştirici ve teknik liderle tek tek yazışma (kurucunun ağı belgelenmedi); planlı dev.to ve GitHub yazıları</t>
        </is>
      </c>
      <c r="K91" s="16" t="inlineStr">
        <is>
          <t>Hacker News Show HN ve r/reactjs gönderisi; Zabuno'daki kullanım vakası, planlı 90 günlük çalışma tamamlanınca</t>
        </is>
      </c>
      <c r="L91" s="16" t="inlineStr">
        <is>
          <t>Kurucunun bildiği 20 hedef kişinin listesini çıkarmak ve ilk 10 kişiye 3 günlük paket teklifini kişisel mesajla göndermek</t>
        </is>
      </c>
      <c r="M91" s="16" t="inlineStr">
        <is>
          <t>Tek varyant seçilir, üç desen paketlenir: isimle onay, denetim günlüğü, yetki matrisi; MIT lisans onayı, dürüst README ve 90 saniyelik demo.</t>
        </is>
      </c>
      <c r="N91" s="16" t="inlineStr">
        <is>
          <t>SaaS ve fintech iç araç ekipleri</t>
        </is>
      </c>
      <c r="O91" s="16" t="inlineStr">
        <is>
          <t>kurucu satışı</t>
        </is>
      </c>
      <c r="P91" s="16" t="inlineStr">
        <is>
          <t>yok</t>
        </is>
      </c>
    </row>
    <row r="92">
      <c r="A92" s="16" t="inlineStr">
        <is>
          <t>devpanel-b</t>
        </is>
      </c>
      <c r="B92" s="16" t="inlineStr">
        <is>
          <t>Geliştirici paneli desenleri (devpanel)</t>
        </is>
      </c>
      <c r="C92" s="16" t="inlineStr">
        <is>
          <t>20 alanlı form şemasından JSON ve React dışa aktarım işi</t>
        </is>
      </c>
      <c r="D92" s="16" t="inlineStr">
        <is>
          <t>hizmet</t>
        </is>
      </c>
      <c r="E92" s="16" t="inlineStr">
        <is>
          <t>3-15 kişilik ajansın frontend lideri ya da SaaS ekibinde frontend mühendisi; tekrarlanan arka ofis formu yazan ekip</t>
        </is>
      </c>
      <c r="F92" s="16" t="inlineStr">
        <is>
          <t>Operasyon sahibinin Excel başlıklarını doğrulama ve koşullu alanlarla sürümlü şemaya ve çalışan React formuna çevirmek</t>
        </is>
      </c>
      <c r="G92" s="16" t="inlineStr">
        <is>
          <t>Müşteri için yeni bir arka ofis formu teklifi ya da aynı kuralın iki ekranda farklı çalışması</t>
        </is>
      </c>
      <c r="H92" s="16" t="inlineStr">
        <is>
          <t>Tek formluk sabit kapsamlı entegrasyon: en çok 20 alan, koşul ve doğrulama, JSON şema, React çıktısı, 320 piksel ve klavye testi, müşterinin deposunda derleme</t>
        </is>
      </c>
      <c r="I92" s="16" t="inlineStr">
        <is>
          <t>20.000 ₺ + KDV (yaklaşık 417 $, GPT çalışmasındaki 300-1000 $ aralığı)</t>
        </is>
      </c>
      <c r="J92" s="16" t="inlineStr">
        <is>
          <t>Form kütüphanelerinin GitHub issue sayfalarında ilgili sorulara örnekle yanıt; LinkedIn'de tek tek ajans liderleri</t>
        </is>
      </c>
      <c r="K92" s="16" t="inlineStr">
        <is>
          <t>dev.to yazısı ve ücretsiz 3 alanlı koşullu form demosu (Storybook)</t>
        </is>
      </c>
      <c r="L92" s="16" t="inlineStr">
        <is>
          <t>3 alanlı koşullu form demosunu ve dışa aktarım örneğini yayımlamak, ilgili issue başlıklarına örnekle yanıt vermek</t>
        </is>
      </c>
      <c r="M92" s="16" t="inlineStr">
        <is>
          <t>Önkoşul: tek canonical varyant seçimi. Tek şema biçimi, CSV içe aktarım, koşul editörü, JSON ve React dışa aktarımı, gidiş-dönüş testi; 20 alanlı örnek form kayıpsız çalışır.</t>
        </is>
      </c>
      <c r="N92" s="16" t="inlineStr">
        <is>
          <t>Ajanslar ve SaaS frontend ekipleri</t>
        </is>
      </c>
      <c r="O92" s="16" t="inlineStr">
        <is>
          <t>topluluk</t>
        </is>
      </c>
      <c r="P92" s="16" t="inlineStr">
        <is>
          <t>yok</t>
        </is>
      </c>
    </row>
    <row r="93">
      <c r="A93" s="16" t="inlineStr">
        <is>
          <t>devpanel-c</t>
        </is>
      </c>
      <c r="B93" s="16" t="inlineStr">
        <is>
          <t>Geliştirici paneli desenleri (devpanel)</t>
        </is>
      </c>
      <c r="C93" s="16" t="inlineStr">
        <is>
          <t>Yönetim paneli şablonu, 49 $ lisans</t>
        </is>
      </c>
      <c r="D93" s="16" t="inlineStr">
        <is>
          <t>kod satışı</t>
        </is>
      </c>
      <c r="E93" s="16" t="inlineStr">
        <is>
          <t>Bağımsız geliştirici ve küçük ajans; hazır yönetim paneli şablonu arayan</t>
        </is>
      </c>
      <c r="F93" s="16" t="inlineStr">
        <is>
          <t>Sıfırdan panel yazmadan hazır ekran ve davranış desenlerini kendi projesine almak</t>
        </is>
      </c>
      <c r="G93" s="16" t="inlineStr">
        <is>
          <t>Yeni bir müşteri paneli ya da yan proje başlangıcı</t>
        </is>
      </c>
      <c r="H93" s="16" t="inlineStr">
        <is>
          <t>Tek varyantın 31 ekranı (sahte veri, yaklaşık %60 tıklanabilir prototip), token sistemi, tema editörü ve README; tek proje lisansı, uzatılmış lisans 199 $</t>
        </is>
      </c>
      <c r="I93" s="16" t="inlineStr">
        <is>
          <t>49 $ (2.352 ₺) tek proje; 199 $ uzatılmış</t>
        </is>
      </c>
      <c r="J93" s="16" t="inlineStr">
        <is>
          <t>Lemon Squeezy mağazası; GitHub deposu ve Hacker News Show HN gönderisi ile trafik</t>
        </is>
      </c>
      <c r="K93" s="16" t="inlineStr">
        <is>
          <t>Gumroad Discover ve dev.to yazıları</t>
        </is>
      </c>
      <c r="L93" s="16" t="inlineStr">
        <is>
          <t>Mağaza hesabını açmak, 90 saniyelik demo ve canlı örnekle ilk tanıtım gönderisi</t>
        </is>
      </c>
      <c r="M93" s="16" t="inlineStr">
        <is>
          <t>Tek varyant temizlenir, lisans metni, dokümantasyon, demo sitesi ve paketleme; yaklaşık 80-120 saatlik iş.</t>
        </is>
      </c>
      <c r="N93" s="16" t="inlineStr">
        <is>
          <t>Bağımsız geliştirici ve küçük ajans</t>
        </is>
      </c>
      <c r="O93" s="16" t="inlineStr">
        <is>
          <t>pazar yeri</t>
        </is>
      </c>
      <c r="P93" s="16" t="inlineStr">
        <is>
          <t>yok</t>
        </is>
      </c>
    </row>
    <row r="94">
      <c r="A94" s="16" t="inlineStr">
        <is>
          <t>e-menum-a</t>
        </is>
      </c>
      <c r="B94" s="16" t="inlineStr">
        <is>
          <t>E-Menum (Django QR menü kod tabanı)</t>
        </is>
      </c>
      <c r="C94" s="16" t="inlineStr">
        <is>
          <t>Tek kiracılı white-label kurulum paketi</t>
        </is>
      </c>
      <c r="D94" s="16" t="inlineStr">
        <is>
          <t>hizmet</t>
        </is>
      </c>
      <c r="E94" s="16" t="inlineStr">
        <is>
          <t>Restoran müşterisi olan, Django barındırabilen 2-10 kişilik web ajansı ya da küçük yazılım evi</t>
        </is>
      </c>
      <c r="F94" s="16" t="inlineStr">
        <is>
          <t>Restoran müşterisine kendi markalı QR menü ve sipariş sunmak; betik uyarlamak ya da sıfırdan yazmak yerine çalışan çekirdeği kurmak</t>
        </is>
      </c>
      <c r="G94" s="16" t="inlineStr">
        <is>
          <t>Müşterisinden QR menü talebi gelmesi, yeni restoran sözleşmesi, betik uyarlamasının tıkanması</t>
        </is>
      </c>
      <c r="H94" s="16" t="inlineStr">
        <is>
          <t>Docker kurulumu, marka, 2 dil, KVKK metin yerleşimi, 20 saat uyarlama, ödeme bağlantısı ajans hesabıyla, 30 gün hata düzeltme</t>
        </is>
      </c>
      <c r="I94" s="16" t="inlineStr">
        <is>
          <t>25.000 TL tek sefer (KDV hariç), %50 ön ödeme; yıllık bakım 6.000 TL</t>
        </is>
      </c>
      <c r="J94" s="16" t="inlineStr">
        <is>
          <t>Django Türkiye ve Python Türkiye Telegram grupları ile LinkedIn'de kişisel mesaj (haftada 10 ajans)</t>
        </is>
      </c>
      <c r="K94" s="16" t="inlineStr">
        <is>
          <t>Kamuya açık depo README'si, sahibin canlı ürününün destek kuyruğuna gelen ajans talepleri, ajans dizinleri</t>
        </is>
      </c>
      <c r="L94" s="16" t="inlineStr">
        <is>
          <t>Kopyaları birleştirip temizle; 40 ajans ve geliştirici listesi çıkar; 90 saniyelik demo videosu çek</t>
        </is>
      </c>
      <c r="M94" s="16" t="inlineStr">
        <is>
          <t>Tek kiracılı Docker kurulumu, marka ve dil ayarı, mutfak ekranı ve rezervasyon demosu, yazılı kapsam ve eksik listesi; ödeme ajansın sağlayıcı hesabıyla</t>
        </is>
      </c>
      <c r="N94" s="16" t="inlineStr">
        <is>
          <t>Django bilen web ajansı ve küçük yazılım evi</t>
        </is>
      </c>
      <c r="O94" s="16" t="inlineStr">
        <is>
          <t>topluluk</t>
        </is>
      </c>
      <c r="P94" s="16" t="inlineStr">
        <is>
          <t>KVKK</t>
        </is>
      </c>
    </row>
    <row r="95">
      <c r="A95" s="16" t="inlineStr">
        <is>
          <t>e-menum-b</t>
        </is>
      </c>
      <c r="B95" s="16" t="inlineStr">
        <is>
          <t>E-Menum (Django QR menü kod tabanı)</t>
        </is>
      </c>
      <c r="C95" s="16" t="inlineStr">
        <is>
          <t>Çok şubeli markaya yönetilen menü güncelleme hizmeti</t>
        </is>
      </c>
      <c r="D95" s="16" t="inlineStr">
        <is>
          <t>hizmet</t>
        </is>
      </c>
      <c r="E95" s="16" t="inlineStr">
        <is>
          <t>2-10 şubeli kafe ya da restoran markası; 50-200 ürün, iki dil, ayda en az iki fiyat ya da ürün değişimi</t>
        </is>
      </c>
      <c r="F95" s="16" t="inlineStr">
        <is>
          <t>Fiyat, varyant, dil ve alerjen değişikliğini şubelere onaylı yayınlamak; yanlış şube fiyatını ve eski fiyat görünmesini önlemek</t>
        </is>
      </c>
      <c r="G95" s="16" t="inlineStr">
        <is>
          <t>Tedarik fiyatı değişimi, yeni sezon menüsü, şubeler arası fiyat tutarsızlığı, fiyat etiketi düzenlemesi</t>
        </is>
      </c>
      <c r="H95" s="16" t="inlineStr">
        <is>
          <t>Kurucunun mevcut yonetim paneliyle elle yurutecegi icerik aktarma, taslak farki, alerjen onayi, sahip onayi, sabit QR yayini ve geri alma; bu akislar urunde calisir kanitsiz</t>
        </is>
      </c>
      <c r="I95" s="16" t="inlineStr">
        <is>
          <t>Test fiyati: 5 sube 4.000 TL/ay, tek sube 1.000 TL/ay (mevcut musteri fiyati degil); kurulum 5.000 TL analist varsayimi</t>
        </is>
      </c>
      <c r="J95" s="16" t="inlineStr">
        <is>
          <t>Mevcut zincir ve kafe ilişkileri ile LinkedIn'de kişisel mesaj (haftada 10 marka sorumlusu)</t>
        </is>
      </c>
      <c r="K95" s="16" t="inlineStr">
        <is>
          <t>Menü PDF'inde eksik fiyat kontrol listesi içeriği; restoran ajansı ve POS bayii ortaklığı; sahibin canlı ürününün destek kuyruğu</t>
        </is>
      </c>
      <c r="L95" s="16" t="inlineStr">
        <is>
          <t>Mevcut ilişkilerden 20 çok şubeli marka listesi çıkar; yapay bir restoranla taslak, onay, yayın ve geri alma demosu hazırla</t>
        </is>
      </c>
      <c r="M95" s="16" t="inlineStr">
        <is>
          <t>İki pilot şubede içe aktarma, elle fark raporu, alerjen onay listesi, sahip onayı, sabit QR; 320 piksel okuma kontrolü; yeni özellik yazılmaz</t>
        </is>
      </c>
      <c r="N95" s="16" t="inlineStr">
        <is>
          <t>2-10 şubeli kafe ve restoran markası</t>
        </is>
      </c>
      <c r="O95" s="16" t="inlineStr">
        <is>
          <t>mevcut müşteri</t>
        </is>
      </c>
      <c r="P95" s="16" t="inlineStr">
        <is>
          <t>KVKK</t>
        </is>
      </c>
    </row>
    <row r="96">
      <c r="A96" s="16" t="inlineStr">
        <is>
          <t>e-menum-c</t>
        </is>
      </c>
      <c r="B96" s="16" t="inlineStr">
        <is>
          <t>E-Menum (Django QR menü kod tabanı)</t>
        </is>
      </c>
      <c r="C96" s="16" t="inlineStr">
        <is>
          <t>Kaynak kod ve belge paketi (depo ve topluluk)</t>
        </is>
      </c>
      <c r="D96" s="16" t="inlineStr">
        <is>
          <t>kod satışı</t>
        </is>
      </c>
      <c r="E96" s="16" t="inlineStr">
        <is>
          <t>Django bilen serbest geliştirici ve girişimci; restoran müşterisi için hazır çekirdek arıyor</t>
        </is>
      </c>
      <c r="F96" s="16" t="inlineStr">
        <is>
          <t>Sıfırdan yazmadan restoran QR menü ve sipariş çekirdeğini kendi sunucusunda çalıştırmak</t>
        </is>
      </c>
      <c r="G96" s="16" t="inlineStr">
        <is>
          <t>Bir restoran müşterisinin QR menü ya da mutfak ekranı talebi; uyarlama maliyetinin yükselmesi</t>
        </is>
      </c>
      <c r="H96" s="16" t="inlineStr">
        <is>
          <t>Kaynak kod, kurulum kılavuzu, Türkçe iş kuralları belgesi ve test paketi; destek ve ödeme entegrasyonu yok; kullanım lisansı</t>
        </is>
      </c>
      <c r="I96" s="16" t="inlineStr">
        <is>
          <t>89 USD (yaklaşık 4.272 TL) tek sefer</t>
        </is>
      </c>
      <c r="J96" s="16" t="inlineStr">
        <is>
          <t>Depo README'si ve Django Turkiye Telegram grubu (yonetici izniyle gonderi); LinkedIn'de kisisel mesaj</t>
        </is>
      </c>
      <c r="K96" s="16" t="inlineStr">
        <is>
          <t>CodeCanyon yazilim pazar yeri, Django kategorisi (plan son care sayiyor, ilk 90 gun sonucsuzsa)</t>
        </is>
      </c>
      <c r="L96" s="16" t="inlineStr">
        <is>
          <t>Kopyalari birlestirip temizle; kurulum kilavuzu ve demo videosu hazirla; depo README'sini ac, Telegram yoneticisinden gonderi izni iste</t>
        </is>
      </c>
      <c r="M96" s="16" t="inlineStr">
        <is>
          <t>Temizlenmiş tek dal, Docker kurulum kılavuzu, 90 saniyelik demo videosu, lisans metni, bilinen eksikler sayfası; destek yok</t>
        </is>
      </c>
      <c r="N96" s="16" t="inlineStr">
        <is>
          <t>Django bilen serbest geliştirici ve girişimci</t>
        </is>
      </c>
      <c r="O96" s="16" t="inlineStr">
        <is>
          <t>topluluk</t>
        </is>
      </c>
      <c r="P96" s="16" t="inlineStr">
        <is>
          <t>lisans</t>
        </is>
      </c>
    </row>
    <row r="97">
      <c r="A97" s="16" t="inlineStr">
        <is>
          <t>eklenti-firsat-panosu-a</t>
        </is>
      </c>
      <c r="B97" s="16" t="inlineStr">
        <is>
          <t>Eklenti ekosistemi fırsat panosu ve bülteni</t>
        </is>
      </c>
      <c r="C97" s="16" t="inlineStr">
        <is>
          <t>Bülten Pro: aylık eklenti fırsat bülteni</t>
        </is>
      </c>
      <c r="D97" s="16" t="inlineStr">
        <is>
          <t>içerik</t>
        </is>
      </c>
      <c r="E97" s="16" t="inlineStr">
        <is>
          <t>Eklenti ve uzantı geliştiren, Türkiye'de çalışan solo geliştirici; kendi kartıyla ya da havaleyle öder</t>
        </is>
      </c>
      <c r="F97" s="16" t="inlineStr">
        <is>
          <t>Bu ay hangi eklenti ekosisteminde ve alt kategoride ürün yapılacağını kaynaklı biçimde seçmek, yanlış nişe ay harcamamak</t>
        </is>
      </c>
      <c r="G97" s="16" t="inlineStr">
        <is>
          <t>Yeni eklenti kararı öncesi hafta sonu; başarısız bir lansman sonrası ürün seçimi</t>
        </is>
      </c>
      <c r="H97" s="16" t="inlineStr">
        <is>
          <t>Ücretsiz pano; ücretli bültende ayda 5 puanlı fırsat kartı, 1 girilmez kategori ve ekosistem derinliği; ilk sayı bedava</t>
        </is>
      </c>
      <c r="I97" s="16" t="inlineStr">
        <is>
          <t>399 TL/ay veya 3.490 TL/yıl; yurt dışı alıcıya 12 USD/ay; 7 gün koşulsuz iade</t>
        </is>
      </c>
      <c r="J97" s="16" t="inlineStr">
        <is>
          <t>28 ekosistem sayfasıyla arama ve açık veri deposu; ilk 10 alıcı kurucunun mevcut geliştirici çevresinden</t>
        </is>
      </c>
      <c r="K97" s="16" t="inlineStr">
        <is>
          <t>LinkedIn gönderileri ve WordPress Türkiye topluluğunda kurala uygun özet paylaşımı</t>
        </is>
      </c>
      <c r="L97" s="16" t="inlineStr">
        <is>
          <t>Panodaki 28 ekosistem hücresine kaynak ya da tahmin etiketi ekleyip panoyu yayınlamak</t>
        </is>
      </c>
      <c r="M97" s="16" t="inlineStr">
        <is>
          <t>Kaynaklı pano, e-posta kaydı, çift onay, ilk ücretsiz sayı ve ücretli bülten satış sayfası; tek kurucu ve sabit biçimli aylık sayı</t>
        </is>
      </c>
      <c r="N97" s="16" t="inlineStr">
        <is>
          <t>TR solo eklenti geliştiricisi</t>
        </is>
      </c>
      <c r="O97" s="16" t="inlineStr">
        <is>
          <t>içerik</t>
        </is>
      </c>
      <c r="P97" s="16" t="inlineStr">
        <is>
          <t>KVKK</t>
        </is>
      </c>
    </row>
    <row r="98">
      <c r="A98" s="16" t="inlineStr">
        <is>
          <t>eklenti-firsat-panosu-b</t>
        </is>
      </c>
      <c r="B98" s="16" t="inlineStr">
        <is>
          <t>Eklenti ekosistemi fırsat panosu ve bülteni</t>
        </is>
      </c>
      <c r="C98" s="16" t="inlineStr">
        <is>
          <t>Keşif Paketi: tek seferlik eklenti fırsat seti</t>
        </is>
      </c>
      <c r="D98" s="16" t="inlineStr">
        <is>
          <t>içerik</t>
        </is>
      </c>
      <c r="E98" s="16" t="inlineStr">
        <is>
          <t>Kendi eklenti araştırmasını yapmak isteyen geliştirici; Türkiye'de ya da yurt dışında, kendi kartıyla öder</t>
        </is>
      </c>
      <c r="F98" s="16" t="inlineStr">
        <is>
          <t>Tek bir ekosistemde ya da kategoride ürün yapmadan önce fırsatı kendi başına, standart çerçeveyle puanlamak</t>
        </is>
      </c>
      <c r="G98" s="16" t="inlineStr">
        <is>
          <t>Yeni eklenti kararı öncesi hafta sonu; ücretsiz panoyu görüp kendi fikrini puanlamak isteme</t>
        </is>
      </c>
      <c r="H98" s="16" t="inlineStr">
        <is>
          <t>Keşif formu, istem şablonu, puanlama çerçevesi, pano verisi (JSON) ve 3 doldurulmuş örnek; indirilebilir paket</t>
        </is>
      </c>
      <c r="I98" s="16" t="inlineStr">
        <is>
          <t>349 TL tek seferlik; yurt dışı alıcıya 29 USD; 7 gün koşulsuz iade</t>
        </is>
      </c>
      <c r="J98" s="16" t="inlineStr">
        <is>
          <t>Panonun 28 ekosistem sayfaları ve açık veri deposu üzerinden paket sayfasına yönlendirme</t>
        </is>
      </c>
      <c r="K98" s="16" t="inlineStr">
        <is>
          <t>Product Hunt lansmanı ve LinkedIn gönderileri; kurucunun çevresine elle davet</t>
        </is>
      </c>
      <c r="L98" s="16" t="inlineStr">
        <is>
          <t>Paketi PDF ve Markdown olarak toplayıp ödeme sayfasında satışa açmak</t>
        </is>
      </c>
      <c r="M98" s="16" t="inlineStr">
        <is>
          <t>Form, istem şablonu, çerçeve, pano JSON'u ve 3 örnek; sabit içerik, özelleştirme ve görüşme yok</t>
        </is>
      </c>
      <c r="N98" s="16" t="inlineStr">
        <is>
          <t>Eklenti geliştiricisi, kendi araştırmasını yapan</t>
        </is>
      </c>
      <c r="O98" s="16" t="inlineStr">
        <is>
          <t>arama</t>
        </is>
      </c>
      <c r="P98" s="16" t="inlineStr">
        <is>
          <t>mevzuata bağlı</t>
        </is>
      </c>
    </row>
    <row r="99">
      <c r="A99" s="16" t="inlineStr">
        <is>
          <t>eklenti-firsat-panosu-c</t>
        </is>
      </c>
      <c r="B99" s="16" t="inlineStr">
        <is>
          <t>Eklenti ekosistemi fırsat panosu ve bülteni</t>
        </is>
      </c>
      <c r="C99" s="16" t="inlineStr">
        <is>
          <t>Ajans lisansı: ürün hattı fırsat paketi</t>
        </is>
      </c>
      <c r="D99" s="16" t="inlineStr">
        <is>
          <t>hizmet</t>
        </is>
      </c>
      <c r="E99" s="16" t="inlineStr">
        <is>
          <t>WooCommerce ve Shopify işi yapan 2-5 kişilik web ajansı kurucusu; ortakla onaylar, faturalı havale öder</t>
        </is>
      </c>
      <c r="F99" s="16" t="inlineStr">
        <is>
          <t>Hizmet gelirine eklenti ürünü eklemek için ekibe sunulabilir, puanlı ve kaynaklı fırsat listesi hazırlamak</t>
        </is>
      </c>
      <c r="G99" s="16" t="inlineStr">
        <is>
          <t>Hizmet işinde sessiz dönem ya da çeyrek planlama toplantısı</t>
        </is>
      </c>
      <c r="H99" s="16" t="inlineStr">
        <is>
          <t>3 koltuk bülten, keşif paketi, 20 dakikalık tanışma ve yılda 1 saatlik görüşmede ajansın fikirlerini aynı çerçevede puanlama</t>
        </is>
      </c>
      <c r="I99" s="16" t="inlineStr">
        <is>
          <t>299 USD/yıl peşin (yaklaşık 14.352 TL); yıllık yenileme</t>
        </is>
      </c>
      <c r="J99" s="16" t="inlineStr">
        <is>
          <t>LinkedIn'de 20 ajansa kişisel mesaj ve 20 dakikalık görüşme</t>
        </is>
      </c>
      <c r="K99" s="16" t="inlineStr">
        <is>
          <t>WordPress Türkiye topluluğu ve küçük geliştirici bültenleriyle yer değişimi</t>
        </is>
      </c>
      <c r="L99" s="16" t="inlineStr">
        <is>
          <t>Hedef 20 ajansın ismen listesini çıkarmak ve ilk 10'a kişisel mesaj göndermek</t>
        </is>
      </c>
      <c r="M99" s="16" t="inlineStr">
        <is>
          <t>Bülten Pro içeriği, keşif paketi, 3 koltuk ve yılda 1 saat görüşme; sabit kapsam, ek geliştirme yok</t>
        </is>
      </c>
      <c r="N99" s="16" t="inlineStr">
        <is>
          <t>Küçük web ajansı, WooCommerce ve Shopify</t>
        </is>
      </c>
      <c r="O99" s="16" t="inlineStr">
        <is>
          <t>kurucu satışı</t>
        </is>
      </c>
      <c r="P99" s="16" t="inlineStr">
        <is>
          <t>KVKK</t>
        </is>
      </c>
    </row>
    <row r="100">
      <c r="A100" s="16" t="inlineStr">
        <is>
          <t>cok-dilli-arayuz-a</t>
        </is>
      </c>
      <c r="B100" s="16" t="inlineStr">
        <is>
          <t>Çok dilli arayüz rehberi ve denetimi</t>
        </is>
      </c>
      <c r="C100" s="16" t="inlineStr">
        <is>
          <t>Çok dilli site denetimi: sabit fiyatlı paket</t>
        </is>
      </c>
      <c r="D100" s="16" t="inlineStr">
        <is>
          <t>hizmet</t>
        </is>
      </c>
      <c r="E100" s="16" t="inlineStr">
        <is>
          <t>Çok dilli (3-5 dil) kurumsal site yaptıran ihracatçı KOBİ'ler ve bu siteleri teslim eden ajanslar; mevcut site hizmeti müşterileri önce.</t>
        </is>
      </c>
      <c r="F100" s="16" t="inlineStr">
        <is>
          <t>Çeviri gelmeden ya da gelince taşan düğme, bozuk RTL, yanlış tarih ve sayı biçimi ile çevrilmeyen hata metnini kanıtlı bulgu listesiyle bulmak.</t>
        </is>
      </c>
      <c r="G100" s="16" t="inlineStr">
        <is>
          <t>Yeni dilin yayına alınması ya da çeviri tesliminden sonra arayüzün bozuk görünmesi; müşterinin 'çeviri kötü' itirazı.</t>
        </is>
      </c>
      <c r="H100" s="16" t="inlineStr">
        <is>
          <t>5 kritik ekran x 2 dil, masaüstü ve 320 px; ekran görüntülü bulgu dosyası, kabul ölçütü, düzeltme sırası; 3 iş günü; 14 gün yeniden kontrol.</t>
        </is>
      </c>
      <c r="I100" s="16" t="inlineStr">
        <is>
          <t>Temel 7.500 ₺ (5 ekran, 2 dil); Kapsamlı 15.000 ₺ (10 ekran, 3 dil, RTL, çalıştay).</t>
        </is>
      </c>
      <c r="J100" s="16" t="inlineStr">
        <is>
          <t>Mevcut kurumsal site hizmeti müşterileri ve ajans ortakları: tekil mesaj ve ücretsiz 1 ekranlık mini denetim</t>
        </is>
      </c>
      <c r="K100" s="16" t="inlineStr">
        <is>
          <t>LinkedIn'de anonim vaka yazıları ve tanışılan kişilere tekil mesaj; Atlas modülünden gelen talepler</t>
        </is>
      </c>
      <c r="L100" s="16" t="inlineStr">
        <is>
          <t>Bu hafta 3 mevcut müşteriye 1 sayfalık teklif ve 1 ekranlık ücretsiz mini denetim sun; denetim şablonunu hazırla.</t>
        </is>
      </c>
      <c r="M100" s="16" t="inlineStr">
        <is>
          <t>Playwright ile 320 px, %200 zoom, RTL ve pseudo-locale denetim şablonu; bulgu dosyası ve tek sayfa teklif; sözleşmede uyum garantisi verilmediğini yazan sorumluluk reddi.</t>
        </is>
      </c>
      <c r="N100" s="16" t="inlineStr">
        <is>
          <t>İhracatçı KOBİ ve çok dilli site ajansı</t>
        </is>
      </c>
      <c r="O100" s="16" t="inlineStr">
        <is>
          <t>mevcut müşteri</t>
        </is>
      </c>
      <c r="P100" s="16" t="inlineStr">
        <is>
          <t>KVKK</t>
        </is>
      </c>
    </row>
    <row r="101">
      <c r="A101" s="16" t="inlineStr">
        <is>
          <t>cok-dilli-arayuz-b</t>
        </is>
      </c>
      <c r="B101" s="16" t="inlineStr">
        <is>
          <t>Çok dilli arayüz rehberi ve denetimi</t>
        </is>
      </c>
      <c r="C101" s="16" t="inlineStr">
        <is>
          <t>Kontrol listesi PDF ve ücretsiz Atlas modülü</t>
        </is>
      </c>
      <c r="D101" s="16" t="inlineStr">
        <is>
          <t>içerik</t>
        </is>
      </c>
      <c r="E101" s="16" t="inlineStr">
        <is>
          <t>Çok dilli projeye ilk kez giren bağımsız geliştiriciler ve küçük ajans ekipleri; Frontend Atlası okurları.</t>
        </is>
      </c>
      <c r="F101" s="16" t="inlineStr">
        <is>
          <t>Çok dilli arayüzde neyin nasıl kontrol edileceğini bilmek; kabul ölçütlü 60 maddelik listeyle projeyi kendi başına denetlemek.</t>
        </is>
      </c>
      <c r="G101" s="16" t="inlineStr">
        <is>
          <t>Projeye yeni dil ya da RTL eklenmesi; çeviri sonrası taşma ve eksik anahtar sorunları.</t>
        </is>
      </c>
      <c r="H101" s="16" t="inlineStr">
        <is>
          <t>60 maddelik Türkçe kontrol listesi, puanlama şablonu, pseudo-locale ve CI örnekleri; Atlas'taki ücretsiz derslere bağlı; 7 gün iade.</t>
        </is>
      </c>
      <c r="I101" s="16" t="inlineStr">
        <is>
          <t>299 ₺ KDV dahil (yaklaşık 249 ₺ net); İngilizce sürüm 9 USD (sonraki dilim).</t>
        </is>
      </c>
      <c r="J101" s="16" t="inlineStr">
        <is>
          <t>Frontend Atlası 'Çok dilli arayüz' modülü: arama ile gelen okurlar, ders sonunda PDF sunumu</t>
        </is>
      </c>
      <c r="K101" s="16" t="inlineStr">
        <is>
          <t>Frontend Türkiye ve Kommunity topluluk cevapları; GitHub ve dev.to yazıları; LinkedIn yazıları</t>
        </is>
      </c>
      <c r="L101" s="16" t="inlineStr">
        <is>
          <t>Rehberdeki 63 kaynak artığını temizle, atıfları doğrula, Atlas'a ilk 4 dersi yayımla.</t>
        </is>
      </c>
      <c r="M101" s="16" t="inlineStr">
        <is>
          <t>Temizlenmiş rehber, 60 maddelik PDF, 4-8 Atlas dersi, Shopier satış sayfası; iade koşulları ve sorumluluk reddi satış sayfasında.</t>
        </is>
      </c>
      <c r="N101" s="16" t="inlineStr">
        <is>
          <t>Bağımsız geliştirici ve küçük ajans</t>
        </is>
      </c>
      <c r="O101" s="16" t="inlineStr">
        <is>
          <t>arama</t>
        </is>
      </c>
      <c r="P101" s="16" t="inlineStr">
        <is>
          <t>mevzuata bağlı</t>
        </is>
      </c>
    </row>
    <row r="102">
      <c r="A102" s="16" t="inlineStr">
        <is>
          <t>cok-dilli-arayuz-c</t>
        </is>
      </c>
      <c r="B102" s="16" t="inlineStr">
        <is>
          <t>Çok dilli arayüz rehberi ve denetimi</t>
        </is>
      </c>
      <c r="C102" s="16" t="inlineStr">
        <is>
          <t>SaaS ekibine ücretli pilot: yerelleştirme QA kapısı</t>
        </is>
      </c>
      <c r="D102" s="16" t="inlineStr">
        <is>
          <t>hizmet</t>
        </is>
      </c>
      <c r="E102" s="16" t="inlineStr">
        <is>
          <t>EN, DE ya da AR'a açılan 5-40 mühendisli Türk SaaS ekipleri: frontend lideri, QA ve yerelleştirme sorumlusu.</t>
        </is>
      </c>
      <c r="F102" s="16" t="inlineStr">
        <is>
          <t>Her sürümde çeviri sonrası taşma, eksik değişken, RTL ve erişilebilir ad hatalarını kaynak konumuyla yakalayan CI kapısını bir kritik akışta kurmak.</t>
        </is>
      </c>
      <c r="G102" s="16" t="inlineStr">
        <is>
          <t>Yeni dil sürümü, çeviri dosyası gelince son dakika CSS düzeltmeleri ve aynı hataların sonraki sürümde geri gelmesi.</t>
        </is>
      </c>
      <c r="H102" s="16" t="inlineStr">
        <is>
          <t>Tek React ya da Storybook akışında JSON mesaj kontrolü, pseudo-locale, 320 px ve %200 zoom raporu, CI makbuzu; 2 hafta ücretli pilot.</t>
        </is>
      </c>
      <c r="I102" s="16" t="inlineStr">
        <is>
          <t>Pilot 14.400 ₺ (300 USD) tek sefer; ekip desteği 19-49 USD/ay yalnız pilot sonrası test edilecek teklif.</t>
        </is>
      </c>
      <c r="J102" s="16" t="inlineStr">
        <is>
          <t>LinkedIn'de hedeflenen 20 Türk SaaS ekibine tekil mesaj ve ücretsiz 1 ekranlık mini denetim</t>
        </is>
      </c>
      <c r="K102" s="16" t="inlineStr">
        <is>
          <t>GitHub Actions Marketplace ve public 10 bozuk-10 sağlıklı fixture paketi; Frontend topluluk yazıları</t>
        </is>
      </c>
      <c r="L102" s="16" t="inlineStr">
        <is>
          <t>20 SaaS ekibini isimle listele; özgün fixture paketini ve tek adapter için ilk raporu hazırla.</t>
        </is>
      </c>
      <c r="M102" s="16" t="inlineStr">
        <is>
          <t>JSON mesaj import, mesaj birimi lint'i, uzun ve RTL sahte dil, tek React/Storybook adapter, 320 px ve %200 zoom taşma raporu, CI makbuzu.</t>
        </is>
      </c>
      <c r="N102" s="16" t="inlineStr">
        <is>
          <t>Türk SaaS ekibi (5-40 mühendis)</t>
        </is>
      </c>
      <c r="O102" s="16" t="inlineStr">
        <is>
          <t>kurucu satışı</t>
        </is>
      </c>
      <c r="P102" s="16" t="inlineStr">
        <is>
          <t>KVKK</t>
        </is>
      </c>
    </row>
    <row r="103">
      <c r="A103" s="16" t="inlineStr">
        <is>
          <t>b2b-pazar-yeri-hizmeti-a</t>
        </is>
      </c>
      <c r="B103" s="16" t="inlineStr">
        <is>
          <t>B2B pazar yeri keşif ve teklif hizmeti</t>
        </is>
      </c>
      <c r="C103" s="16" t="inlineStr">
        <is>
          <t>Soğuk başlangıç teşhis paketi (2 hafta)</t>
        </is>
      </c>
      <c r="D103" s="16" t="inlineStr">
        <is>
          <t>hizmet</t>
        </is>
      </c>
      <c r="E103" s="16" t="inlineStr">
        <is>
          <t>Sektör kümesi, sanayi bölgesi, birlik ya da kooperatif yöneticisi; 100-500 üyeli ve kendi B2B platformunu planlayan</t>
        </is>
      </c>
      <c r="F103" s="16" t="inlineStr">
        <is>
          <t>Yazılıma ve ekibe para harcamadan önce hangi kategori, kaç satıcı ve hangi ekiple başlanacağını belgeyle karara bağlamak</t>
        </is>
      </c>
      <c r="G103" s="16" t="inlineStr">
        <is>
          <t>Genel kurul ya da yönetim kurulu gündemi, ajanstan gelen pahalı yazılım teklifi, hibe çağrısı</t>
        </is>
      </c>
      <c r="H103" s="16" t="inlineStr">
        <is>
          <t>Sabit kapsamlı 2 haftalık teşhis: problem ve varsayım haritası, 20 sayfalık karar belgesi, kendini ödeyen model, devam ya da durdur ölçütleri</t>
        </is>
      </c>
      <c r="I103" s="16" t="inlineStr">
        <is>
          <t>60.000 ₺ + KDV; %40 peşin, kalanı teslimde; teşhis sonrası üst pakete geçme zorunluluğu yok</t>
        </is>
      </c>
      <c r="J103" s="16" t="inlineStr">
        <is>
          <t>30 kümeye ve sanayi bölgesi yöneticisine doğrudan e-posta ve telefon; sanayi bölgeleri birliği ve oda etkinlikleri</t>
        </is>
      </c>
      <c r="K103" s="16" t="inlineStr">
        <is>
          <t>B2B yazılım ajansları ile ortak teklif; kurucunun mevcut üretici müşterileri; LinkedIn yazı dizisi</t>
        </is>
      </c>
      <c r="L103" s="16" t="inlineStr">
        <is>
          <t>Yazılı izin talebi gönder; kamuya açık kaynaklardan 30 yöneticilik liste çıkar ve doğrula; 10 kişiye 2 sayfalık özet teklifi yolla</t>
        </is>
      </c>
      <c r="M103" s="16" t="inlineStr">
        <is>
          <t>Teşhis şablonları, 20 sayfalık markasız karar belgesi (henüz yok; izin ya da sıfırdan yazımla), kendini ödeyen model tablosu, sözleşme ve teklif PDF; ekran seti ve backlog sonraya</t>
        </is>
      </c>
      <c r="N103" s="16" t="inlineStr">
        <is>
          <t>Sektör kümesi, sanayi bölgesi, birlik yöneticisi</t>
        </is>
      </c>
      <c r="O103" s="16" t="inlineStr">
        <is>
          <t>kurucu satışı</t>
        </is>
      </c>
      <c r="P103" s="16" t="inlineStr">
        <is>
          <t>KVKK</t>
        </is>
      </c>
    </row>
    <row r="104">
      <c r="A104" s="16" t="inlineStr">
        <is>
          <t>b2b-pazar-yeri-hizmeti-b</t>
        </is>
      </c>
      <c r="B104" s="16" t="inlineStr">
        <is>
          <t>B2B pazar yeri keşif ve teklif hizmeti</t>
        </is>
      </c>
      <c r="C104" s="16" t="inlineStr">
        <is>
          <t>Tek kategori talep ve teklif doğrulama raporu</t>
        </is>
      </c>
      <c r="D104" s="16" t="inlineStr">
        <is>
          <t>hizmet</t>
        </is>
      </c>
      <c r="E104" s="16" t="inlineStr">
        <is>
          <t>Tek kategoride satıcı ve alıcı bulmaya çalışan seed aşama B2B girişim kurucusu; toptancı sahibi ya da ticaret topluluğu yöneticisi</t>
        </is>
      </c>
      <c r="F104" s="16" t="inlineStr">
        <is>
          <t>Bir ürün kategorisini gerçek görüşme ve teklif yanıtlarıyla sınayıp lansman planına ve fiyat kararına bağlamak</t>
        </is>
      </c>
      <c r="G104" s="16" t="inlineStr">
        <is>
          <t>Melek yatırımcı toplantısı, hızlandırıcı başvurusu, kayıtlı satıcı var ama işlem yok durumu, kasa süresinin kısalması</t>
        </is>
      </c>
      <c r="H104" s="16" t="inlineStr">
        <is>
          <t>5 sayfalık rapor: 3 yetkili görüşmesi, kategori maliyeti, 5 anonim teklif yanıtı sınıflaması, itirazlar, devam ya da durdur kararı; 10 iş günü</t>
        </is>
      </c>
      <c r="I104" s="16" t="inlineStr">
        <is>
          <t>20.000 ₺ + KDV (varsayım); %50 peşin, kalanı teslimde; ikinci kategori 12.000 ₺</t>
        </is>
      </c>
      <c r="J104" s="16" t="inlineStr">
        <is>
          <t>Kuluçka merkezleri ve girişim toplulukları: ücretsiz 45 dakikalık atölye; kurucunun mevcut toptancı ve üretici ilişkileri</t>
        </is>
      </c>
      <c r="K104" s="16" t="inlineStr">
        <is>
          <t>Ajans ortaklığı, LinkedIn yazı dizisi, kooperatif ve ticaret odası etkinlikleri</t>
        </is>
      </c>
      <c r="L104" s="16" t="inlineStr">
        <is>
          <t>Tek sayfalık örnek rapor yaz; 10 girişimciye ve 5 tanıdık toptancıya ücretsiz özet teklifi gönder</t>
        </is>
      </c>
      <c r="M104" s="16" t="inlineStr">
        <is>
          <t>Rapor ve teklif tablosu şablonu, görüşme formu, sözleşme sayfası; ekran seti, backlog ve koçluk yok; tek kategori</t>
        </is>
      </c>
      <c r="N104" s="16" t="inlineStr">
        <is>
          <t>Seed B2B girişim kurucusu, toptancı sahibi</t>
        </is>
      </c>
      <c r="O104" s="16" t="inlineStr">
        <is>
          <t>topluluk</t>
        </is>
      </c>
      <c r="P104" s="16" t="inlineStr">
        <is>
          <t>KVKK</t>
        </is>
      </c>
    </row>
    <row r="105">
      <c r="A105" s="16" t="inlineStr">
        <is>
          <t>b2b-pazar-yeri-hizmeti-c</t>
        </is>
      </c>
      <c r="B105" s="16" t="inlineStr">
        <is>
          <t>B2B pazar yeri keşif ve teklif hizmeti</t>
        </is>
      </c>
      <c r="C105" s="16" t="inlineStr">
        <is>
          <t>Tam paket: strateji, ekran seti, backlog ve 90 gün koçluk</t>
        </is>
      </c>
      <c r="D105" s="16" t="inlineStr">
        <is>
          <t>hizmet</t>
        </is>
      </c>
      <c r="E105" s="16" t="inlineStr">
        <is>
          <t>Bayi ağına dijital sipariş kanalı kuracak ya da pazar yeri başlatacak kurumsal girişim ekibi; ödeme gücü yüksek üretici ve dağıtıcı</t>
        </is>
      </c>
      <c r="F105" s="16" t="inlineStr">
        <is>
          <t>Pazar yeri mi bayi portalı mı kararını vermek; geliştiriciye verilebilir backlog, ekranlar ve 90 günlük uygulama planı edinmek</t>
        </is>
      </c>
      <c r="G105" s="16" t="inlineStr">
        <is>
          <t>Ekim-Kasım bütçe planlaması, bayi kaybı, rakibin portal açması, ajanstan gelen yazılım teklifi</t>
        </is>
      </c>
      <c r="H105" s="16" t="inlineStr">
        <is>
          <t>12 haftalık paket: teşhis, strateji, 60-120 markalı ekran, backlog, deney portföyü, haftalık koçluk; yazılım kapsam dışı</t>
        </is>
      </c>
      <c r="I105" s="16" t="inlineStr">
        <is>
          <t>250.000 ₺ + KDV; %40 peşin, kalanı aşama teslimlerinde; koçluk devamı 15.000 ₺/ay</t>
        </is>
      </c>
      <c r="J105" s="16" t="inlineStr">
        <is>
          <t>B2B yazılım ve e-ticaret ajanslarıyla ortak teklif (yönlendirme payı %15); kurucunun mevcut üretici müşterileri</t>
        </is>
      </c>
      <c r="K105" s="16" t="inlineStr">
        <is>
          <t>LinkedIn doğrudan mesaj; e-ticaret etkinlikleri; kümelerde yapılan ücretsiz atölyeler</t>
        </is>
      </c>
      <c r="L105" s="16" t="inlineStr">
        <is>
          <t>Yazılı izin talep et; 10 ajansı adlandır ve ulaş; izin gelirse ya da sıfırdan 12 ekranlık markasız galeri hazırla</t>
        </is>
      </c>
      <c r="M105" s="16" t="inlineStr">
        <is>
          <t>Markasız 20 sayfalık rehber ve 12 ekranlık galeri (henüz yok; izin ya da sıfırdan yazımla), karar belgesi ve sözleşme şablonu; ekran seti ve backlog müşteriyle üretilir</t>
        </is>
      </c>
      <c r="N105" s="16" t="inlineStr">
        <is>
          <t>Kurumsal girişim, üretici ve dağıtıcı</t>
        </is>
      </c>
      <c r="O105" s="16" t="inlineStr">
        <is>
          <t>ortak</t>
        </is>
      </c>
      <c r="P105" s="16" t="inlineStr">
        <is>
          <t>KVKK</t>
        </is>
      </c>
    </row>
    <row r="106">
      <c r="A106" s="16" t="inlineStr">
        <is>
          <t>lifeos-a</t>
        </is>
      </c>
      <c r="B106" s="16" t="inlineStr">
        <is>
          <t>LifeOS (yeni sekme ve alışkanlık eklentisi)</t>
        </is>
      </c>
      <c r="C106" s="16" t="inlineStr">
        <is>
          <t>Günün Framework'ü: ücretsiz yan panel ve çalışma kâğıdı paketi</t>
        </is>
      </c>
      <c r="D106" s="16" t="inlineStr">
        <is>
          <t>eklenti</t>
        </is>
      </c>
      <c r="E106" s="16" t="inlineStr">
        <is>
          <t>LinkedIn'de aktif KOBİ sahibi ve yöneticiler; ikincil olarak işletme öğrencileri ve eğitmenler</t>
        </is>
      </c>
      <c r="F106" s="16" t="inlineStr">
        <is>
          <t>Bildiği karar yöntemini (Eisenhower, SWOT, Pareto) gün içinde uygulamak; yönteme ait çalışma kâğıdına tek tıkla geçmek</t>
        </is>
      </c>
      <c r="G106" s="16" t="inlineStr">
        <is>
          <t>Karar yorgunluğu, yatırım ya da büyüme kararı dönemi; sınav haftası (öğrenci)</t>
        </is>
      </c>
      <c r="H106" s="16" t="inlineStr">
        <is>
          <t>Eklenti ücretsiz ve izinsiz; yöntem başına çalışma kâğıdı paketi (3 yöntem, PDF ve Notion) sabit fiyatla satılır</t>
        </is>
      </c>
      <c r="I106" s="16" t="inlineStr">
        <is>
          <t>199 TL paket (149-299 TL aralığı), KDV hariç; tek seferlik, Shopier ya da havale</t>
        </is>
      </c>
      <c r="J106" s="16" t="inlineStr">
        <is>
          <t>Kurucunun LinkedIn profilinde günlük 'günün yöntemi' gönderisi; Chrome Web Store araması; Karar Kitabı sitesinde kur bağlantısı</t>
        </is>
      </c>
      <c r="K106" s="16" t="inlineStr">
        <is>
          <t>Edge Add-ons, üniversite işletme kulübü grupları, bağımsız eğitmenlere özel bağlantı</t>
        </is>
      </c>
      <c r="L106" s="16" t="inlineStr">
        <is>
          <t>10 tanıdık işletme sahibine kapalı pilot; LinkedIn'de 10 günlük yöntem serisi ve tek paket için ön sipariş bağlantısı</t>
        </is>
      </c>
      <c r="M106" s="16" t="inlineStr">
        <is>
          <t>Tek paket (3 yöntem), 20 yöntemlik yan panel, 3 izin, gizlilik politikası, UTM'li çalışma kâğıdı bağlantısı; 128 yöntem sonra</t>
        </is>
      </c>
      <c r="N106" s="16" t="inlineStr">
        <is>
          <t>KOBİ yöneticisi ve işletme öğrencisi</t>
        </is>
      </c>
      <c r="O106" s="16" t="inlineStr">
        <is>
          <t>içerik</t>
        </is>
      </c>
      <c r="P106" s="16" t="inlineStr">
        <is>
          <t>mevzuata bağlı</t>
        </is>
      </c>
    </row>
    <row r="107">
      <c r="A107" s="16" t="inlineStr">
        <is>
          <t>lifeos-b</t>
        </is>
      </c>
      <c r="B107" s="16" t="inlineStr">
        <is>
          <t>LifeOS (yeni sekme ve alışkanlık eklentisi)</t>
        </is>
      </c>
      <c r="C107" s="16" t="inlineStr">
        <is>
          <t>Freelancer haftalık çalışma kaydı: yerel CSV ve kurulum paketi</t>
        </is>
      </c>
      <c r="D107" s="16" t="inlineStr">
        <is>
          <t>eklenti</t>
        </is>
      </c>
      <c r="E107" s="16" t="inlineStr">
        <is>
          <t>Müşterisine haftalık teslim ve fatura çıkaran bağımsız çalışan; ikincil olarak proje etiketli döküm isteyen küçük ajans</t>
        </is>
      </c>
      <c r="F107" s="16" t="inlineStr">
        <is>
          <t>Tarayıcıdaki etkinliği projeye bağlı, kendi onayladığı haftalık çalışma kaydına çevirip müşteriye izinli CSV özeti vermek</t>
        </is>
      </c>
      <c r="G107" s="16" t="inlineStr">
        <is>
          <t>Hafta sonu fatura ya da teslim; müşteri proje yöneticisinin haftalık rapor istemesi</t>
        </is>
      </c>
      <c r="H107" s="16" t="inlineStr">
        <is>
          <t>Ücretsiz yerel eklenti; ücretli: sabit kapsamlı şablon ve kurulum paketi (kaynakta yalnız 'şablon ya da kurulum'; proje etiketi, CSV şablonu ve rehber analist önerisi)</t>
        </is>
      </c>
      <c r="I107" s="16" t="inlineStr">
        <is>
          <t>600 TL tek seferlik, KDV hariç (kaynak aralığı 300-1000 TL; orta nokta analist seçimi)</t>
        </is>
      </c>
      <c r="J107" s="16" t="inlineStr">
        <is>
          <t>Chrome Web Store 'yerel haftalık çalışma kaydı dışa aktarma' listesi ve herkese açık sentetik haftalık örnek sayfa</t>
        </is>
      </c>
      <c r="K107" s="16" t="inlineStr">
        <is>
          <t>Freelancer'ın müşteriye verdiği izinli çıktı tarifi; bağımsız çalışan toplulukları (hedef grup henüz adlandırılmadı)</t>
        </is>
      </c>
      <c r="L107" s="16" t="inlineStr">
        <is>
          <t>Beş freelancer ile iki haftalık pilot; kendi düzelttikleri haftayı CSV'ye aktarıp müşteriye vermeleri</t>
        </is>
      </c>
      <c r="M107" s="16" t="inlineStr">
        <is>
          <t>Etkinlik, boşta süre, proje ve saat dilimi kaydı; elle düzeltme ve gerekçe; yerel CSV haftalık dışa aktarma; senkron ve ekip yok</t>
        </is>
      </c>
      <c r="N107" s="16" t="inlineStr">
        <is>
          <t>bağımsız çalışan ve küçük ajans</t>
        </is>
      </c>
      <c r="O107" s="16" t="inlineStr">
        <is>
          <t>pazar yeri</t>
        </is>
      </c>
      <c r="P107" s="16" t="inlineStr">
        <is>
          <t>KVKK</t>
        </is>
      </c>
    </row>
    <row r="108">
      <c r="A108" s="16" t="inlineStr">
        <is>
          <t>lifeos-c</t>
        </is>
      </c>
      <c r="B108" s="16" t="inlineStr">
        <is>
          <t>LifeOS (yeni sekme ve alışkanlık eklentisi)</t>
        </is>
      </c>
      <c r="C108" s="16" t="inlineStr">
        <is>
          <t>Tek rutin yeni sekme şablonu: açık çekirdek ve ücretli kit</t>
        </is>
      </c>
      <c r="D108" s="16" t="inlineStr">
        <is>
          <t>kod satışı</t>
        </is>
      </c>
      <c r="E108" s="16" t="inlineStr">
        <is>
          <t>Bağımsız çalışan rutin takipçisi (alıcı hipotezi); eklenti geliştiricisi operatör, ikincil hipotez</t>
        </is>
      </c>
      <c r="F108" s="16" t="inlineStr">
        <is>
          <t>Çok özellikli araçlar yerine yeni sekmede tek günlük rutini tamamlatan sade, yerel kayıtlı bir başlangıç şablonu almak</t>
        </is>
      </c>
      <c r="G108" s="16" t="inlineStr">
        <is>
          <t>Yeni bir eklenti ya da alışkanlık ürünü başlatma anı</t>
        </is>
      </c>
      <c r="H108" s="16" t="inlineStr">
        <is>
          <t>Açık çekirdek yalnız tek rutin akışı, ücretsiz; ücretli kit açık çekirdekte olmayan kabul testleri, mağaza gönderim rehberi ve gizlilik metni paketini içerir</t>
        </is>
      </c>
      <c r="I108" s="16" t="inlineStr">
        <is>
          <t>19 USD (912 TL) tek seferlik, KDV hariç; kaynakta fiyat yok, analist varsayımı</t>
        </is>
      </c>
      <c r="J108" s="16" t="inlineStr">
        <is>
          <t>Herkese açık GitHub deposu ve demo; eklenti geliştiricilerinin topluluk gönderileri (hedef grup henüz adlandırılmadı)</t>
        </is>
      </c>
      <c r="K108" s="16" t="inlineStr">
        <is>
          <t>Chrome Web Store ücretsiz sürüm listesi, Product Hunt gönderisi</t>
        </is>
      </c>
      <c r="L108" s="16" t="inlineStr">
        <is>
          <t>Beş kopyayı tek depoya indir, tek rutin akışını yaz, yerel saat sınırı ve silme testini geçir, ücretsiz sürümü yayınla</t>
        </is>
      </c>
      <c r="M108" s="16" t="inlineStr">
        <is>
          <t>Tek rutin, yerel ilerleme kaydı, silme ve gün sınırı testleri, README ve mağaza rehberi; senkron ve rapor yok</t>
        </is>
      </c>
      <c r="N108" s="16" t="inlineStr">
        <is>
          <t>bağımsız geliştirici</t>
        </is>
      </c>
      <c r="O108" s="16" t="inlineStr">
        <is>
          <t>topluluk</t>
        </is>
      </c>
      <c r="P108" s="16" t="inlineStr">
        <is>
          <t>yok</t>
        </is>
      </c>
    </row>
    <row r="109">
      <c r="A109" s="16" t="inlineStr">
        <is>
          <t>luquit-a</t>
        </is>
      </c>
      <c r="B109" s="16" t="inlineStr">
        <is>
          <t>Liquid glass bileşen kütüphanesi ve emlakçı CRM Lite</t>
        </is>
      </c>
      <c r="C109" s="16" t="inlineStr">
        <is>
          <t>Emlakçı CRM Lite aylık abonelik (bağımsız ofis)</t>
        </is>
      </c>
      <c r="D109" s="16" t="inlineStr">
        <is>
          <t>yazılım ürünü</t>
        </is>
      </c>
      <c r="E109" s="16" t="inlineStr">
        <is>
          <t>Yetki belgeli, 1-10 kişilik bağımsız emlak ofisi sahibi; franchise dışı</t>
        </is>
      </c>
      <c r="F109" s="16" t="inlineStr">
        <is>
          <t>Müşteri talebini ve komisyon kaydını WhatsApp ile Excel yerine tek Türkçe defterde tutmak; yeni ilan girince kimi arayacağını görmek</t>
        </is>
      </c>
      <c r="G109" s="16" t="inlineStr">
        <is>
          <t>Kaçan bir müşteri, ortakla komisyon tartışması, yeni danışman alımı ya da portal paketi yenileme faturası</t>
        </is>
      </c>
      <c r="H109" s="16" t="inlineStr">
        <is>
          <t>Başlangıç, Ofis ve Ofis Plus planları; ilk 3 ofise 2 ay ücretsiz beta pilot; 14 gün iade; veri her an dosya olarak alınabilir</t>
        </is>
      </c>
      <c r="I109" s="16" t="inlineStr">
        <is>
          <t>499 / 899 / 1.490 TL aylık, KDV hariç; plan karışımı ortalama 850 TL</t>
        </is>
      </c>
      <c r="J109" s="16" t="inlineStr">
        <is>
          <t>Tanıdık ofislerle yüz yüze görüşme, sonra TÜGEM ve yerel emlak danışmanları dernek ve odası sunumları</t>
        </is>
      </c>
      <c r="K109" s="16" t="inlineStr">
        <is>
          <t>Instagram'da emlak danışmanlarına kişiye özel mesaj; pilot ofislerin referansı; sitesini yapan freelancer ortaklığı</t>
        </is>
      </c>
      <c r="L109" s="16" t="inlineStr">
        <is>
          <t>3 tanıdık ofisle 30 dakikalık talep ve fiyat görüşmesi; en az 2 ofis 499-899 TL öderim demeden sunucu işine başlanmaz</t>
        </is>
      </c>
      <c r="M109" s="16" t="inlineStr">
        <is>
          <t>Gerçek veri tabanında ilan, müşteri-talep eşleştirme, randevu ve komisyon defteri; kimlik; dosya dışa aktarma; iyzico abonelik; yeni ad ile 3 pilot ofis</t>
        </is>
      </c>
      <c r="N109" s="16" t="inlineStr">
        <is>
          <t>Bağımsız emlak ofisi, 1-10 kişi</t>
        </is>
      </c>
      <c r="O109" s="16" t="inlineStr">
        <is>
          <t>kurucu satışı</t>
        </is>
      </c>
      <c r="P109" s="16" t="inlineStr">
        <is>
          <t>KVKK</t>
        </is>
      </c>
    </row>
    <row r="110">
      <c r="A110" s="16" t="inlineStr">
        <is>
          <t>luquit-b</t>
        </is>
      </c>
      <c r="B110" s="16" t="inlineStr">
        <is>
          <t>Liquid glass bileşen kütüphanesi ve emlakçı CRM Lite</t>
        </is>
      </c>
      <c r="C110" s="16" t="inlineStr">
        <is>
          <t>Destekli cam arayüz yolculuk kiti (ajans ve freelancer)</t>
        </is>
      </c>
      <c r="D110" s="16" t="inlineStr">
        <is>
          <t>kod satışı</t>
        </is>
      </c>
      <c r="E110" s="16" t="inlineStr">
        <is>
          <t>1-5 kişilik React ajansı ve serbest frontend geliştirici; benzer onay ve sonuç ekranlarını farklı müşterilere teslim eden</t>
        </is>
      </c>
      <c r="F110" s="16" t="inlineStr">
        <is>
          <t>Marka, odak, klavye ve 320 piksel mobil uyumunu her projede yeniden çözmeden iki hazır cam arayüz yolculuğunu mevcut projeye almak</t>
        </is>
      </c>
      <c r="G110" s="16" t="inlineStr">
        <is>
          <t>Yeni müşteri projesinin başlangıcı ya da müşterinin cam estetiği ve erişilebilirlik isteği</t>
        </is>
      </c>
      <c r="H110" s="16" t="inlineStr">
        <is>
          <t>Kaynak kodu ve tokenlarla iki özgün yolculuk, erişilebilirlik test kanıtı, desteklenen sürüm tarifi; isteğe bağlı saatlik özel entegrasyon</t>
        </is>
      </c>
      <c r="I110" s="16" t="inlineStr">
        <is>
          <t>Kit 1.500 TL tek seferlik (yaklaşık 31 USD); özel entegrasyon 12 saat için 12.000 TL; KDV hariç</t>
        </is>
      </c>
      <c r="J110" s="16" t="inlineStr">
        <is>
          <t>GitHub ve npm üzerindeki açık kaynak bileşenler, README ve belge sitesi; 320 piksel odak sorunu üzerine teknik makale</t>
        </is>
      </c>
      <c r="K110" s="16" t="inlineStr">
        <is>
          <t>Ajanslara izinli tek entegrasyon referansı; Dev.to ve React topluluklarında örnek paylaşımı</t>
        </is>
      </c>
      <c r="L110" s="16" t="inlineStr">
        <is>
          <t>Kütüphaneyi lisans kararıyla yayımlamak, iki yolculuğu bitirmek ve 10 nitelikli ajans ya da freelancer ile kiti denemek</t>
        </is>
      </c>
      <c r="M110" s="16" t="inlineStr">
        <is>
          <t>İki özgün yolculuk (onay ve sonuç inceleme), 12 bileşenin testi, belge sitesi, lisans envanteri, Lemon Squeezy ödeme sayfası</t>
        </is>
      </c>
      <c r="N110" s="16" t="inlineStr">
        <is>
          <t>React ajansı ve serbest geliştirici</t>
        </is>
      </c>
      <c r="O110" s="16" t="inlineStr">
        <is>
          <t>içerik</t>
        </is>
      </c>
      <c r="P110" s="16" t="inlineStr">
        <is>
          <t>yok</t>
        </is>
      </c>
    </row>
    <row r="111">
      <c r="A111" s="16" t="inlineStr">
        <is>
          <t>metaframer-kernel-a</t>
        </is>
      </c>
      <c r="B111" s="16" t="inlineStr">
        <is>
          <t>Çok kiracılı SaaS arka uç başlangıç kiti (metaframer-kernel)</t>
        </is>
      </c>
      <c r="C111" s="16" t="inlineStr">
        <is>
          <t>tenantkit lisanslı kit (Solo ve Team, küresel)</t>
        </is>
      </c>
      <c r="D111" s="16" t="inlineStr">
        <is>
          <t>kod satışı</t>
        </is>
      </c>
      <c r="E111" s="16" t="inlineStr">
        <is>
          <t>Yeni B2B SaaS kuran solo geliştirici ve 2-5 kişilik ekipler (Node, Python, Postgres)</t>
        </is>
      </c>
      <c r="F111" s="16" t="inlineStr">
        <is>
          <t>Çok kiracılı izolasyon, audit ve outbox temelini ilk günde kurup ürün işine dönmek</t>
        </is>
      </c>
      <c r="G111" s="16" t="inlineStr">
        <is>
          <t>Yeni SaaS projesinin başlangıcı; ilk pilot müşterinin veriler karışmıyor mu sorusu</t>
        </is>
      </c>
      <c r="H111" s="16" t="inlineStr">
        <is>
          <t>Açık kaynak çekirdek ücretsiz; ticari lisans: Solo 1 geliştirici, Team 5 geliştirici, 12 ay güncelleme, 14 gün iade</t>
        </is>
      </c>
      <c r="I111" s="16" t="inlineStr">
        <is>
          <t>Solo 149 USD, Team 349 USD tek seferlik; ilk 10 müşteriye yüzde 50 kurucu indirimi</t>
        </is>
      </c>
      <c r="J111" s="16" t="inlineStr">
        <is>
          <t>GitHub deposu ve README, Show HN gönderisi, r/node ve r/PostgreSQL gönderileri</t>
        </is>
      </c>
      <c r="K111" s="16" t="inlineStr">
        <is>
          <t>dev.to teknik yazı, Product Hunt, Indie Hackers, awesome-postgres listesi, 20 kişisel mesaj</t>
        </is>
      </c>
      <c r="L111" s="16" t="inlineStr">
        <is>
          <t>docker compose up ile çalışan demo, README ve ücretsiz çekirdek yayını; Lemon Squeezy hesabı açıp test ödemesi</t>
        </is>
      </c>
      <c r="M111" s="16" t="inlineStr">
        <is>
          <t>Mevcut RLS, imzalı bağlam, audit, outbox claim, müşteri örnek modülü; compose, make drill, README, ilk 30 dakika rehberi, lisans ve fiyat sayfası</t>
        </is>
      </c>
      <c r="N111" s="16" t="inlineStr">
        <is>
          <t>Solo SaaS kurucusu, küçük ekip</t>
        </is>
      </c>
      <c r="O111" s="16" t="inlineStr">
        <is>
          <t>topluluk</t>
        </is>
      </c>
      <c r="P111" s="16" t="inlineStr">
        <is>
          <t>KVKK</t>
        </is>
      </c>
    </row>
    <row r="112">
      <c r="A112" s="16" t="inlineStr">
        <is>
          <t>metaframer-kernel-b</t>
        </is>
      </c>
      <c r="B112" s="16" t="inlineStr">
        <is>
          <t>Çok kiracılı SaaS arka uç başlangıç kiti (metaframer-kernel)</t>
        </is>
      </c>
      <c r="C112" s="16" t="inlineStr">
        <is>
          <t>Ajans paketi: Team lisansı ve 1 günlük atölye (Türkiye)</t>
        </is>
      </c>
      <c r="D112" s="16" t="inlineStr">
        <is>
          <t>kod satışı</t>
        </is>
      </c>
      <c r="E112" s="16" t="inlineStr">
        <is>
          <t>Türkiye'de 2-5 kişilik backend ekibi olan yazılım evi ve ajans</t>
        </is>
      </c>
      <c r="F112" s="16" t="inlineStr">
        <is>
          <t>Her müşteri projesinde aynı denetlenebilir çok kiracılı çekirdeği kullanmak ve güvenlik anketine test kanıtıyla cevap vermek</t>
        </is>
      </c>
      <c r="G112" s="16" t="inlineStr">
        <is>
          <t>Yeni B2B portal sözleşmesi; müşterinin güvenlik anketi ya da denetim talebi</t>
        </is>
      </c>
      <c r="H112" s="16" t="inlineStr">
        <is>
          <t>Team lisansı (5 geliştirici, 12 ay güncelleme) ve ekibinizin şemasına uyarlanan 1 günlük atölye; sabit kapsam, havale ve fatura</t>
        </is>
      </c>
      <c r="I112" s="16" t="inlineStr">
        <is>
          <t>40.000 TL + KDV paket (Team lisansı 16.752 TL, atölye 25.000 TL değerinde)</t>
        </is>
      </c>
      <c r="J112" s="16" t="inlineStr">
        <is>
          <t>LinkedIn'de yazılım evi liderlerine doğrudan mesaj; Istanbul Coders ve Yazılımcı Mekanı Discord toplulukları</t>
        </is>
      </c>
      <c r="K112" s="16" t="inlineStr">
        <is>
          <t>Ankara ve İstanbul yazılım meetup'ları, Ekşicode Telegram grupları, iç pilot ekibinin vaka notu</t>
        </is>
      </c>
      <c r="L112" s="16" t="inlineStr">
        <is>
          <t>Demo yayınlandıktan sonra 10 ajansın adını çıkar, 20 dakikalık demo görüşmesi iste; iç pilot ekibinden alıntı al</t>
        </is>
      </c>
      <c r="M112" s="16" t="inlineStr">
        <is>
          <t>Seçenek A kapsamı artı 1 günlük atölye müfredatı, güvenlik anketi cevap şablonu ve Team lisans metni; havale ve fatura düzeni</t>
        </is>
      </c>
      <c r="N112" s="16" t="inlineStr">
        <is>
          <t>Yazılım evi, ajans backend ekibi</t>
        </is>
      </c>
      <c r="O112" s="16" t="inlineStr">
        <is>
          <t>kurucu satışı</t>
        </is>
      </c>
      <c r="P112" s="16" t="inlineStr">
        <is>
          <t>KVKK</t>
        </is>
      </c>
    </row>
    <row r="113">
      <c r="A113" s="16" t="inlineStr">
        <is>
          <t>metaframer-kernel-c</t>
        </is>
      </c>
      <c r="B113" s="16" t="inlineStr">
        <is>
          <t>Çok kiracılı SaaS arka uç başlangıç kiti (metaframer-kernel)</t>
        </is>
      </c>
      <c r="C113" s="16" t="inlineStr">
        <is>
          <t>Tek eylem çok kiracılı güvenlik entegrasyon paketi</t>
        </is>
      </c>
      <c r="D113" s="16" t="inlineStr">
        <is>
          <t>hizmet</t>
        </is>
      </c>
      <c r="E113" s="16" t="inlineStr">
        <is>
          <t>10-60 geliştiricili çok kiracılı B2B SaaS şirketinin kıdemli mühendisi ve CTO'su</t>
        </is>
      </c>
      <c r="F113" s="16" t="inlineStr">
        <is>
          <t>Yapay zekâ önerisiyle yapılan tek bir yazma eylemini yanlış kiracıya yazmadan, yetki ve audit kaydıyla atomik işlemek</t>
        </is>
      </c>
      <c r="G113" s="16" t="inlineStr">
        <is>
          <t>İlk yapay zekâ destekli yazma özelliğinin müşteriye verilmesi</t>
        </is>
      </c>
      <c r="H113" s="16" t="inlineStr">
        <is>
          <t>Mevcut uygulamada tek eylem için sandbox entegrasyonu, yanlış kiracı ve tekrar istek negatif testleri, makbuz çıktısı; sabit kapsam</t>
        </is>
      </c>
      <c r="I113" s="16" t="inlineStr">
        <is>
          <t>1.500 USD sabit paket (yaklaşık 72.000 TL); ücretsiz test paketi ön adım</t>
        </is>
      </c>
      <c r="J113" s="16" t="inlineStr">
        <is>
          <t>GitHub'da açık örnek adaptör ve yanlış kiracı test paketi; OpenFGA ve Cerbos kullanıcılarının sorularında paylaşım</t>
        </is>
      </c>
      <c r="K113" s="16" t="inlineStr">
        <is>
          <t>Sistem entegratörlerine LinkedIn mesajı, GitHub Action olarak test paketi, teknik yazı</t>
        </is>
      </c>
      <c r="L113" s="16" t="inlineStr">
        <is>
          <t>Müşteri kaydı eylemi için örnek adaptör ve 3 yanlış bağlam testini yayınla; 5 şirketin mühendisine sandbox teklifi gönder</t>
        </is>
      </c>
      <c r="M113" s="16" t="inlineStr">
        <is>
          <t>Tek eylem tanımı, kiracı ve yetki bağlamı bağdaştırıcısı, 3 negatif test, makbuz görünümü, geri alma notu; bir mevcut uygulamada 1-2 haftalık entegrasyon</t>
        </is>
      </c>
      <c r="N113" s="16" t="inlineStr">
        <is>
          <t>10-60 geliştiricili B2B SaaS</t>
        </is>
      </c>
      <c r="O113" s="16" t="inlineStr">
        <is>
          <t>kurucu satışı</t>
        </is>
      </c>
      <c r="P113" s="16" t="inlineStr">
        <is>
          <t>KVKK</t>
        </is>
      </c>
    </row>
    <row r="114">
      <c r="A114" s="16" t="inlineStr">
        <is>
          <t>alan-adi-bulucu-a</t>
        </is>
      </c>
      <c r="B114" s="16" t="inlineStr">
        <is>
          <t>Marka adı ve boş alan adı bulucu</t>
        </is>
      </c>
      <c r="C114" s="16" t="inlineStr">
        <is>
          <t>Proje paketi: Türkçe puanlı boş .com kısa liste aracı</t>
        </is>
      </c>
      <c r="D114" s="16" t="inlineStr">
        <is>
          <t>yazılım ürünü</t>
        </is>
      </c>
      <c r="E114" s="16" t="inlineStr">
        <is>
          <t>Yeni ürün ya da şirket adı arayan Türk yan girişimci ve çok ürün çıkaran bağımsız geliştirici</t>
        </is>
      </c>
      <c r="F114" s="16" t="inlineStr">
        <is>
          <t>Telaffuzu kolay, .com'u boş ve marka sınıfında alınabilir görünen 5 adaylık kısa listeyi 10 dakikada çıkarmak</t>
        </is>
      </c>
      <c r="G114" s="16" t="inlineStr">
        <is>
          <t>Ürün lansmanına yakın ad seçimi; marka başvurusu öncesi (başvuru 2.820 ₺); ücretsiz 20 sorgu kotasının bitmesi</t>
        </is>
      </c>
      <c r="H114" s="16" t="inlineStr">
        <is>
          <t>Ücretsiz 20 sorgu/gün; 30 gün sınırsız sorgu, aday önerisi, CSV/JSON ve marka sınıfı bağlantısı; 7 gün koşulsuz iade</t>
        </is>
      </c>
      <c r="I114" s="16" t="inlineStr">
        <is>
          <t>199 ₺ (KDV dahil), tek seferlik; net 166 ₺</t>
        </is>
      </c>
      <c r="J114" s="16" t="inlineStr">
        <is>
          <t>Arama motoru: 10 Türkçe uzun kuyruk sayfa (boş .com bulma, marka adı üretici, telaffuz testi)</t>
        </is>
      </c>
      <c r="K114" s="16" t="inlineStr">
        <is>
          <t>Herkese açık depo, Product Hunt ve Indie Hackers lansmanı, LinkedIn yazısı, kurucunun çevresindeki girişimciler</t>
        </is>
      </c>
      <c r="L114" s="16" t="inlineStr">
        <is>
          <t>Kurucunun kendi ürün adları için aracı kullanıp 3 vaka yazmak; çevresindeki 10 girişimciye ücretsiz paket vermek</t>
        </is>
      </c>
      <c r="M114" s="16" t="inlineStr">
        <is>
          <t>Canlı .com kontrolü (kullanıcı tetiklemeli, önbellekli, kotalı), kök-ek aday üretici, Türkçe okunuş puanı, marka sınıfı bağlantısı, CSV, lisans anahtarlı ödeme</t>
        </is>
      </c>
      <c r="N114" s="16" t="inlineStr">
        <is>
          <t>Türk yan girişimci, bağımsız geliştirici</t>
        </is>
      </c>
      <c r="O114" s="16" t="inlineStr">
        <is>
          <t>arama</t>
        </is>
      </c>
      <c r="P114" s="16" t="inlineStr">
        <is>
          <t>KVKK</t>
        </is>
      </c>
    </row>
    <row r="115">
      <c r="A115" s="16" t="inlineStr">
        <is>
          <t>alan-adi-bulucu-b</t>
        </is>
      </c>
      <c r="B115" s="16" t="inlineStr">
        <is>
          <t>Marka adı ve boş alan adı bulucu</t>
        </is>
      </c>
      <c r="C115" s="16" t="inlineStr">
        <is>
          <t>Ajans yıllık paketi: puanlı kısa liste ve müşteri teslim şablonu</t>
        </is>
      </c>
      <c r="D115" s="16" t="inlineStr">
        <is>
          <t>yazılım ürünü</t>
        </is>
      </c>
      <c r="E115" s="16" t="inlineStr">
        <is>
          <t>Müşterileri için marka adı arayan küçük marka ve web ajansları, serbest marka stratejistleri</t>
        </is>
      </c>
      <c r="F115" s="16" t="inlineStr">
        <is>
          <t>Müşteriye gerekçeli, boş .com'lu 5 adlık kısa listeyi her projede sıfırdan hazırlamadan CSV ya da PDF olarak teslim etmek</t>
        </is>
      </c>
      <c r="G115" s="16" t="inlineStr">
        <is>
          <t>Yeni müşteri brifi; müşterinin seçtiği adın .com'unun dolu çıkması; reddedilen ad revizyonu</t>
        </is>
      </c>
      <c r="H115" s="16" t="inlineStr">
        <is>
          <t>3 kullanıcı, sınırsız proje, CSV/PDF teslim şablonu, puan gerekçesi, marka sınıfı bağlantısı; yıllık yenileme</t>
        </is>
      </c>
      <c r="I115" s="16" t="inlineStr">
        <is>
          <t>499 ₺/yıl (KDV dahil); net yaklaşık 416 ₺, yıllık peşin</t>
        </is>
      </c>
      <c r="J115" s="16" t="inlineStr">
        <is>
          <t>LinkedIn'de haftada 10 kişisel mesajla 30 Türk ajans ve serbest stratejist</t>
        </is>
      </c>
      <c r="K115" s="16" t="inlineStr">
        <is>
          <t>Dijital reklamcılık derneği etkinlikleri, girişimcilik haber sitesi etkinlikleri, mali müşavir ortaklığı (%20 gelir payı varsayımı)</t>
        </is>
      </c>
      <c r="L115" s="16" t="inlineStr">
        <is>
          <t>30 ajansın isim listesini çıkar; 10'una kişiye özel mesaj gönder; ilk 3 ajansa 10 dakikalık demo yap</t>
        </is>
      </c>
      <c r="M115" s="16" t="inlineStr">
        <is>
          <t>Seçenek A'nın çekirdeği artı CSV/PDF şablonu, 3 kullanıcı lisansı ve e-arşiv fatura düzeni</t>
        </is>
      </c>
      <c r="N115" s="16" t="inlineStr">
        <is>
          <t>Küçük marka ve web ajansı</t>
        </is>
      </c>
      <c r="O115" s="16" t="inlineStr">
        <is>
          <t>kurucu satışı</t>
        </is>
      </c>
      <c r="P115" s="16" t="inlineStr">
        <is>
          <t>KVKK</t>
        </is>
      </c>
    </row>
    <row r="116">
      <c r="A116" s="16" t="inlineStr">
        <is>
          <t>alan-adi-bulucu-c</t>
        </is>
      </c>
      <c r="B116" s="16" t="inlineStr">
        <is>
          <t>Marka adı ve boş alan adı bulucu</t>
        </is>
      </c>
      <c r="C116" s="16" t="inlineStr">
        <is>
          <t>Elle teslim: 10 adaylık güncel boş .com karar dosyası</t>
        </is>
      </c>
      <c r="D116" s="16" t="inlineStr">
        <is>
          <t>hizmet</t>
        </is>
      </c>
      <c r="E116" s="16" t="inlineStr">
        <is>
          <t>Ürün ya da şirket adı arasında kalmış girişimci ve ajansı için tek seferlik ad seçtirecek küçük ekipler</t>
        </is>
      </c>
      <c r="F116" s="16" t="inlineStr">
        <is>
          <t>Elindeki 5-10 ad adayını güncel .com boşluğu, Türkçe okunuş notu ve marka sınıfı bağlantısıyla karşılaştırıp karar dosyasına çevirmek</t>
        </is>
      </c>
      <c r="G116" s="16" t="inlineStr">
        <is>
          <t>Lansman ya da marka başvurusu öncesi ad kararı; seçilen adın .com'unun dolu çıkması</t>
        </is>
      </c>
      <c r="H116" s="16" t="inlineStr">
        <is>
          <t>Müşterinin 10 adayı için güncel boşluk kontrolü, puanlı karşılaştırma, ilk 3 ad önerisi, CSV ve 48 saatte teslim; hukuki görüş değildir</t>
        </is>
      </c>
      <c r="I116" s="16" t="inlineStr">
        <is>
          <t>1.490 ₺ (KDV dahil) sabit paket; net yaklaşık 1.242 ₺; ilk 3 müşteriye ücretli pilot</t>
        </is>
      </c>
      <c r="J116" s="16" t="inlineStr">
        <is>
          <t>Kurucunun mevcut ağı: kendi ürünlerinin çevresindeki girişimciler ve LinkedIn bireysel mesajı</t>
        </is>
      </c>
      <c r="K116" s="16" t="inlineStr">
        <is>
          <t>LinkedIn yazısı, girişimcilik topluluk grupları (kurallarına uygun yardımcı cevap), herkese açık depodaki ücretsiz örnek çıktı</t>
        </is>
      </c>
      <c r="L116" s="16" t="inlineStr">
        <is>
          <t>Kendi ürün adlarından birine ait anonim örnek karar dosyası hazırla; çevredeki 10 girişimciye 1.490 ₺'lik teklif gönder</t>
        </is>
      </c>
      <c r="M116" s="16" t="inlineStr">
        <is>
          <t>Mevcut liste arayüzü ve elle RDAP sorgusu; 10 aday için karar dosyası şablonu; teslim ortalama 2 saat; kod geliştirme gerekmez</t>
        </is>
      </c>
      <c r="N116" s="16" t="inlineStr">
        <is>
          <t>Ad arasında kalan kurucu, küçük ajans</t>
        </is>
      </c>
      <c r="O116" s="16" t="inlineStr">
        <is>
          <t>mevcut müşteri</t>
        </is>
      </c>
      <c r="P116" s="16" t="inlineStr">
        <is>
          <t>mevzuata bağlı</t>
        </is>
      </c>
    </row>
    <row r="117">
      <c r="A117" s="16" t="inlineStr">
        <is>
          <t>projector-a</t>
        </is>
      </c>
      <c r="B117" s="16" t="inlineStr">
        <is>
          <t>Kurumsal SaaS mimarisi içerik ürünü (projector)</t>
        </is>
      </c>
      <c r="C117" s="16" t="inlineStr">
        <is>
          <t>Türkçe SaaS mimarisi e-kitabı ön satışı</t>
        </is>
      </c>
      <c r="D117" s="16" t="inlineStr">
        <is>
          <t>içerik</t>
        </is>
      </c>
      <c r="E117" s="16" t="inlineStr">
        <is>
          <t>Türkçe konuşan, 2-5 yıl deneyimli backend geliştirici; ilk çok kiracılı SaaS tasarımını yapıyor.</t>
        </is>
      </c>
      <c r="F117" s="16" t="inlineStr">
        <is>
          <t>Çok kiracılılık, olay kutusu ve denetim kaydı kararlarını gerekçesiyle Türkçe, dağınık İngilizce kaynak taramadan öğrenmek.</t>
        </is>
      </c>
      <c r="G117" s="16" t="inlineStr">
        <is>
          <t>İşyerinde çok kiracılı mimariye geçiş, mülakat daveti ya da yapay zekâ kodunun teknik borç yaratması.</t>
        </is>
      </c>
      <c r="H117" s="16" t="inlineStr">
        <is>
          <t>Kitabın ilk 3 bölümü ve sözlük ücretsiz; tamamı PDF ve EPUB, 12 ay güncelleme, 14 gün iade. İlk 10 okuyucuya yüzde 40 indirim.</t>
        </is>
      </c>
      <c r="I117" s="16" t="inlineStr">
        <is>
          <t>349 TL KDV dahil (yaklaşık 291 TL KDV hariç); kampanyada yaklaşık 210 TL.</t>
        </is>
      </c>
      <c r="J117" s="16" t="inlineStr">
        <is>
          <t>LinkedIn haftalık mimari karar yazısı ve ön satış sayfasına bağlı Brevo bülteni; kurucunun kendi teknik ağı.</t>
        </is>
      </c>
      <c r="K117" s="16" t="inlineStr">
        <is>
          <t>Arama motoru için düzeltilen 314 sayfalık önizleme sitesi; Türkiye Yazılımcılar Topluluğu Discord'unda yardım cevapları.</t>
        </is>
      </c>
      <c r="L117" s="16" t="inlineStr">
        <is>
          <t>Ön satış sayfası, KVKK onaylı e-posta formu ve Shopier ya da iyzico hesabını aç; bölüm 1'i ücretsiz yayınla.</t>
        </is>
      </c>
      <c r="M117" s="16" t="inlineStr">
        <is>
          <t>İlk 3 bölüm yayında, ön satış sayfası, ödeme bağlantısı ve e-posta ile teslim; kalan 7 bölüm ön satış sonrası haftada bir yazılır.</t>
        </is>
      </c>
      <c r="N117" s="16" t="inlineStr">
        <is>
          <t>Backend geliştirici, 2-5 yıl deneyim</t>
        </is>
      </c>
      <c r="O117" s="16" t="inlineStr">
        <is>
          <t>içerik</t>
        </is>
      </c>
      <c r="P117" s="16" t="inlineStr">
        <is>
          <t>KVKK</t>
        </is>
      </c>
    </row>
    <row r="118">
      <c r="A118" s="16" t="inlineStr">
        <is>
          <t>projector-b</t>
        </is>
      </c>
      <c r="B118" s="16" t="inlineStr">
        <is>
          <t>Kurumsal SaaS mimarisi içerik ürünü (projector)</t>
        </is>
      </c>
      <c r="C118" s="16" t="inlineStr">
        <is>
          <t>İki günlük ekip atölyesi: Kurumsal SaaS mimarisi</t>
        </is>
      </c>
      <c r="D118" s="16" t="inlineStr">
        <is>
          <t>hizmet</t>
        </is>
      </c>
      <c r="E118" s="16" t="inlineStr">
        <is>
          <t>3-15 kişilik yazılım evinin teknik lideri ya da ortağı; müşteri projelerinde ortak mimari standardı yok.</t>
        </is>
      </c>
      <c r="F118" s="16" t="inlineStr">
        <is>
          <t>Ekibe çok kiracılılık, olay kutusu, denetim ve modül sınırları konusunda ortak dil kazandırmak; çıktı olarak ekibin kendi karar kaydı seti.</t>
        </is>
      </c>
      <c r="G118" s="16" t="inlineStr">
        <is>
          <t>Büyük bir çok kiracılı müşteri sözleşmesi, ekibe yeni geliştirici katılımı, yıllık eğitim bütçesi dönemi (Aralık-Ocak).</t>
        </is>
      </c>
      <c r="H118" s="16" t="inlineStr">
        <is>
          <t>2 gün, 12 kişiye kadar, ekibin kendi modül haritası üzerinde; çıktı: ekibin karar kaydı seti ve çalışan bir örnek dilim; 30 gün destek.</t>
        </is>
      </c>
      <c r="I118" s="16" t="inlineStr">
        <is>
          <t>35.000 TL + KDV sabit paket; ilk referans atölye maliyetine, video ve alıntı karşılığı.</t>
        </is>
      </c>
      <c r="J118" s="16" t="inlineStr">
        <is>
          <t>Kurucunun mevcut yazılım evi ilişkileri ve LinkedIn'de Ankara, İstanbul, İzmir teknik müdürlerine ayda 10 kişisel mesaj.</t>
        </is>
      </c>
      <c r="K118" s="16" t="inlineStr">
        <is>
          <t>Teknokent ve yazılım toplulukları yöneticileri üzerinden firma günü; ücretsiz önizleme sitesi ve bülten kaydı.</t>
        </is>
      </c>
      <c r="L118" s="16" t="inlineStr">
        <is>
          <t>30 yazılım evi listesi çıkar; mevcut ilişkideki bir ekibe maliyetine pilot atölye öner, video ve alıntı karşılığında.</t>
        </is>
      </c>
      <c r="M118" s="16" t="inlineStr">
        <is>
          <t>Atölye eğitmen notu, ekip başına modül haritası şablonu, karar kaydı şablonu ve küçük örnek dilim; 2 günlük program sabit.</t>
        </is>
      </c>
      <c r="N118" s="16" t="inlineStr">
        <is>
          <t>Küçük yazılım evi teknik lideri</t>
        </is>
      </c>
      <c r="O118" s="16" t="inlineStr">
        <is>
          <t>kurucu satışı</t>
        </is>
      </c>
      <c r="P118" s="16" t="inlineStr">
        <is>
          <t>KVKK</t>
        </is>
      </c>
    </row>
    <row r="119">
      <c r="A119" s="16" t="inlineStr">
        <is>
          <t>projector-c</t>
        </is>
      </c>
      <c r="B119" s="16" t="inlineStr">
        <is>
          <t>Kurumsal SaaS mimarisi içerik ürünü (projector)</t>
        </is>
      </c>
      <c r="C119" s="16" t="inlineStr">
        <is>
          <t>Kaynaklı teslim portalı: 30 dokümanlık migration pilotu</t>
        </is>
      </c>
      <c r="D119" s="16" t="inlineStr">
        <is>
          <t>hizmet</t>
        </is>
      </c>
      <c r="E119" s="16" t="inlineStr">
        <is>
          <t>3-15 kişilik teknik danışmanlık firmasında teslim sorumlusu; müşteriye mimari ve iş kırılım dokümanları teslim ediyor.</t>
        </is>
      </c>
      <c r="F119" s="16" t="inlineStr">
        <is>
          <t>Dağınık Markdown, JSON ve Word kararlarını tek adreste, kaynağı ve sürümü görünen, aranabilir müşteri teslim portalına dönüştürmek.</t>
        </is>
      </c>
      <c r="G119" s="16" t="inlineStr">
        <is>
          <t>Proje kapanışı ve müşteriye teslim; ilk tesliminden sonra kaynak değişikliği ve sürüm sorusu.</t>
        </is>
      </c>
      <c r="H119" s="16" t="inlineStr">
        <is>
          <t>30 doküman için içe aktarma, bozuk bağlantı ve terim raporu, salt okur portal ve çevrimdışı dışa aktarma; sabit kapsam, tek seferlik.</t>
        </is>
      </c>
      <c r="I119" s="16" t="inlineStr">
        <is>
          <t>300-900 dolar sınama aralığı; ilk pilot alt uçta 300 dolar (14.400 TL); barındırılan sürüm ayda 19-59 dolar sınama.</t>
        </is>
      </c>
      <c r="J119" s="16" t="inlineStr">
        <is>
          <t>Docusaurus kullanıcıları için ücretsiz GitHub içe aktarma aracı ve herkese açık örnek portal; rapor paylaşılır.</t>
        </is>
      </c>
      <c r="K119" s="16" t="inlineStr">
        <is>
          <t>Kurucunun doğrudan danışmanlık firması mesajları; teknik danışmanlık topluluklarında örnek rapor paylaşımı.</t>
        </is>
      </c>
      <c r="L119" s="16" t="inlineStr">
        <is>
          <t>3 gerçek doküman külliyatında içe aktarma raporunu çıkar; anonim örnek portalı yayınla ve 5 firmaya pilot teklifi gönder.</t>
        </is>
      </c>
      <c r="M119" s="16" t="inlineStr">
        <is>
          <t>Tek kaynak içe aktarıcı, bozuk bağlantı raporu, kaynak ve sürüm metaverisi, salt okur portal; sürüm farkı ve yetki sonraki dilimde.</t>
        </is>
      </c>
      <c r="N119" s="16" t="inlineStr">
        <is>
          <t>Teknik danışmanlık firması teslim sorumlusu</t>
        </is>
      </c>
      <c r="O119" s="16" t="inlineStr">
        <is>
          <t>topluluk</t>
        </is>
      </c>
      <c r="P119" s="16" t="inlineStr">
        <is>
          <t>KVKK</t>
        </is>
      </c>
    </row>
    <row r="120">
      <c r="A120" s="16" t="inlineStr">
        <is>
          <t>kurucu-pusulasi-a</t>
        </is>
      </c>
      <c r="B120" s="16" t="inlineStr">
        <is>
          <t>Kurucu Pusulası şablonu ve Kitap Atlası</t>
        </is>
      </c>
      <c r="C120" s="16" t="inlineStr">
        <is>
          <t>Kurucu Pusulası şablonu, bireysel satış</t>
        </is>
      </c>
      <c r="D120" s="16" t="inlineStr">
        <is>
          <t>içerik</t>
        </is>
      </c>
      <c r="E120" s="16" t="inlineStr">
        <is>
          <t>Maaşlı işinin yanında kendi ürününü yürüten Türkiye'deki solo kurucu ve yan girişimci</t>
        </is>
      </c>
      <c r="F120" s="16" t="inlineStr">
        <is>
          <t>Dağınık kararları, nakit ve saat bütçesini tek dosyada kanıt etiketiyle yazmak ve her ürün için durdurma kapısı koymak</t>
        </is>
      </c>
      <c r="G120" s="16" t="inlineStr">
        <is>
          <t>Yeni bir ürün ya da fikre başlama anı, yarım kalan işler ve aynı kararı yeniden tartışma</t>
        </is>
      </c>
      <c r="H120" s="16" t="inlineStr">
        <is>
          <t>Kişisel veriden arındırılmış 16 kümelik Markdown ve Notion paketi, anonim doldurulmuş örnek, PDF kılavuz; 14 gün iade</t>
        </is>
      </c>
      <c r="I120" s="16" t="inlineStr">
        <is>
          <t>299 TL tek sefer (yurt dışı 19 USD); net 249 TL KDV hariç</t>
        </is>
      </c>
      <c r="J120" s="16" t="inlineStr">
        <is>
          <t>Kurucunun kendi siteleri (Karar Kitabı, strateji simülatörü) üzerindeki ürün kutusu ve ücretsiz ilk 3 küme paketi</t>
        </is>
      </c>
      <c r="K120" s="16" t="inlineStr">
        <is>
          <t>LinkedIn yazı dizisi ve mevcut ön kayıt listesine e-posta; Shopier ve Lemon Squeezy ürün sayfaları</t>
        </is>
      </c>
      <c r="L120" s="16" t="inlineStr">
        <is>
          <t>Kişisel kümeleri yer tutuculu sürüme çevir, denetim betiğini çalıştır, anonim örneği ücretsiz paketle yayımla</t>
        </is>
      </c>
      <c r="M120" s="16" t="inlineStr">
        <is>
          <t>Nakit ve saat bütçesi, karar defteri, risk kartları, kanıt etiketi sözlüğü ve durdurma kapısı kümeleri; anonim örnek ve denetim betiği; ürün sayfası</t>
        </is>
      </c>
      <c r="N120" s="16" t="inlineStr">
        <is>
          <t>Solo kurucu, yan girişimci</t>
        </is>
      </c>
      <c r="O120" s="16" t="inlineStr">
        <is>
          <t>mevcut müşteri</t>
        </is>
      </c>
      <c r="P120" s="16" t="inlineStr">
        <is>
          <t>KVKK</t>
        </is>
      </c>
    </row>
    <row r="121">
      <c r="A121" s="16" t="inlineStr">
        <is>
          <t>kurucu-pusulasi-b</t>
        </is>
      </c>
      <c r="B121" s="16" t="inlineStr">
        <is>
          <t>Kurucu Pusulası şablonu ve Kitap Atlası</t>
        </is>
      </c>
      <c r="C121" s="16" t="inlineStr">
        <is>
          <t>Mentor sürümü, kuluçka programlarına kurum lisansı</t>
        </is>
      </c>
      <c r="D121" s="16" t="inlineStr">
        <is>
          <t>hizmet</t>
        </is>
      </c>
      <c r="E121" s="16" t="inlineStr">
        <is>
          <t>Kuluçka ve teknokent programı yöneticileri ve mentorları; 5-10 girişim ekibiyle çalışanlar</t>
        </is>
      </c>
      <c r="F121" s="16" t="inlineStr">
        <is>
          <t>Birden çok ekibe aynı karar iskeletini ve aynı kanıt dilini vermek, ekiplerden tutarlı karar belgesi toplamak</t>
        </is>
      </c>
      <c r="G121" s="16" t="inlineStr">
        <is>
          <t>Yeni dönem başlangıcı ve dönem sonu çıktı raporu hazırlığı</t>
        </is>
      </c>
      <c r="H121" s="16" t="inlineStr">
        <is>
          <t>10 kullanıcılı lisans, ekip başı kopya, toplu ritim kartı ve 1 saatlik çevrimiçi atölye; tek e-arşiv fatura</t>
        </is>
      </c>
      <c r="I121" s="16" t="inlineStr">
        <is>
          <t>1.490 TL tek sefer; net yaklaşık 1.200 TL KDV hariç</t>
        </is>
      </c>
      <c r="J121" s="16" t="inlineStr">
        <is>
          <t>Kuluçka ve teknokent program yöneticilerine doğrudan e-posta ve LinkedIn mesajı; anonim örnek ücretsiz mentor sürümü</t>
        </is>
      </c>
      <c r="K121" s="16" t="inlineStr">
        <is>
          <t>Girişimcilik Vakfı toplulukları ve girişim bülteni yazarlarına konuk yazı; mali müşavir tavsiyesi</t>
        </is>
      </c>
      <c r="L121" s="16" t="inlineStr">
        <is>
          <t>Şablonun anonim örneği hazır olunca 10 programın adlı listesini çıkar ve ilk 5 yöneticiye örneği gönder</t>
        </is>
      </c>
      <c r="M121" s="16" t="inlineStr">
        <is>
          <t>Bireysel şablon paketi, ekip başı kopya düzeni, toplu ritim kartı, 1 saatlik atölye metni ve tek sayfa teklif</t>
        </is>
      </c>
      <c r="N121" s="16" t="inlineStr">
        <is>
          <t>Kuluçka ve teknokent yöneticileri</t>
        </is>
      </c>
      <c r="O121" s="16" t="inlineStr">
        <is>
          <t>kurucu satışı</t>
        </is>
      </c>
      <c r="P121" s="16" t="inlineStr">
        <is>
          <t>KVKK</t>
        </is>
      </c>
    </row>
    <row r="122">
      <c r="A122" s="16" t="inlineStr">
        <is>
          <t>kurucu-pusulasi-c</t>
        </is>
      </c>
      <c r="B122" s="16" t="inlineStr">
        <is>
          <t>Kurucu Pusulası şablonu ve Kitap Atlası</t>
        </is>
      </c>
      <c r="C122" s="16" t="inlineStr">
        <is>
          <t>Kitap Atlası, çevirmen künyeli ortaklık sitesi</t>
        </is>
      </c>
      <c r="D122" s="16" t="inlineStr">
        <is>
          <t>içerik</t>
        </is>
      </c>
      <c r="E122" s="16" t="inlineStr">
        <is>
          <t>Strateji ve felsefe klasiklerini doğru çeviriden almak isteyen Türkçe okur; gelir mağaza ortaklık programından gelir</t>
        </is>
      </c>
      <c r="F122" s="16" t="inlineStr">
        <is>
          <t>Bir klasiğin hangi çevirmen ve baskısının güvenilir, hangisinden kaçınılacağını künyeden 30 saniyede bulmak</t>
        </is>
      </c>
      <c r="G122" s="16" t="inlineStr">
        <is>
          <t>Bir klasik kitabı satın almadan önce hangi çeviri sorusunu aramak</t>
        </is>
      </c>
      <c r="H122" s="16" t="inlineStr">
        <is>
          <t>Ücretsiz site; her künyede çevirmen güven göstergesi, ikinci seçenek, kaçınılacak baskı ve işaretli satın alma bağlantıları</t>
        </is>
      </c>
      <c r="I122" s="16" t="inlineStr">
        <is>
          <t>Okura ücretsiz; mağaza komisyonu yüzde 3-8 (varsayım), sepet başına yaklaşık 12 TL</t>
        </is>
      </c>
      <c r="J122" s="16" t="inlineStr">
        <is>
          <t>Arama motoru: künye ve yayınevi sayfaları, hangi çeviri aramaları; kitaplarla ilgili arama için Search Console</t>
        </is>
      </c>
      <c r="K122" s="16" t="inlineStr">
        <is>
          <t>Ekşi Sözlük ve r/kitap katkıları, kurucunun kendi sitelerinden çapraz bağlantı, RSS</t>
        </is>
      </c>
      <c r="L122" s="16" t="inlineStr">
        <is>
          <t>Üç mağazanın ortaklık programlarına başvur, 20 künyeyi doğrula ve satın alma bağlantılarını ekle</t>
        </is>
      </c>
      <c r="M122" s="16" t="inlineStr">
        <is>
          <t>20 doğrulanmış künye, her biri için 2-3 işaretli satın alma bağlantısı, 3 yayınevi sayfası ve RSS; ortaklık bildirimi</t>
        </is>
      </c>
      <c r="N122" s="16" t="inlineStr">
        <is>
          <t>Nitelikli klasik okuru</t>
        </is>
      </c>
      <c r="O122" s="16" t="inlineStr">
        <is>
          <t>arama</t>
        </is>
      </c>
      <c r="P122" s="16" t="inlineStr">
        <is>
          <t>mevzuata bağlı</t>
        </is>
      </c>
    </row>
    <row r="123">
      <c r="A123" s="16" t="inlineStr">
        <is>
          <t>signator-a</t>
        </is>
      </c>
      <c r="B123" s="16" t="inlineStr">
        <is>
          <t>signator (e-posta imzası üreticisi)</t>
        </is>
      </c>
      <c r="C123" s="16" t="inlineStr">
        <is>
          <t>Ajans paketi: white-label toplu imza ve KVKK altbilgi</t>
        </is>
      </c>
      <c r="D123" s="16" t="inlineStr">
        <is>
          <t>yazılım ürünü</t>
        </is>
      </c>
      <c r="E123" s="16" t="inlineStr">
        <is>
          <t>5-30 kişilik dijital ajans, web tasarım ve kurumsal kimlik stüdyosu</t>
        </is>
      </c>
      <c r="F123" s="16" t="inlineStr">
        <is>
          <t>Müşterilerinin tüm ekibine aynı logolu, KVKK altbilgili imzayı dakikalar içinde teslim etmek</t>
        </is>
      </c>
      <c r="G123" s="16" t="inlineStr">
        <is>
          <t>Yeni kurumsal kimlik ya da site teslimi; müşterinin imza talebi; yeni işe alım</t>
        </is>
      </c>
      <c r="H123" s="16" t="inlineStr">
        <is>
          <t>25 müşteri alanı, CSV toplu üretim, barındırılan görsel, 3 şablon, KVKK altbilgi, ajans markası; ilk müşteride birlikte kurulum</t>
        </is>
      </c>
      <c r="I123" s="16" t="inlineStr">
        <is>
          <t>4.990 TL + KDV yıllık peşin; müşteriye 1.500-2.500 TL'ye satılabilir</t>
        </is>
      </c>
      <c r="J123" s="16" t="inlineStr">
        <is>
          <t>Ajansların kendi sitesindeki kurumsal iletişim adresine ayda 10 soğuk e-posta ve demo</t>
        </is>
      </c>
      <c r="K123" s="16" t="inlineStr">
        <is>
          <t>Kurucunun mevcut danışmanlık ve kurumsal site ilişkileri; LinkedIn ajans toplulukları</t>
        </is>
      </c>
      <c r="L123" s="16" t="inlineStr">
        <is>
          <t>Barındırılan görsel ve CSV çalışınca, mevcut ilişkideki bir ajansla ilk müşterisinde ücretsiz deneme</t>
        </is>
      </c>
      <c r="M123" s="16" t="inlineStr">
        <is>
          <t>Barındırılan görsel, 3 şablon, CSV toplu üretim, KVKK altbilgi, 4 istemci kurulum rehberi; çok müşterili panel yok, müşteri alanları elle yönetilir</t>
        </is>
      </c>
      <c r="N123" s="16" t="inlineStr">
        <is>
          <t>Dijital ajans, kimlik stüdyosu</t>
        </is>
      </c>
      <c r="O123" s="16" t="inlineStr">
        <is>
          <t>kurucu satışı</t>
        </is>
      </c>
      <c r="P123" s="16" t="inlineStr">
        <is>
          <t>KVKK</t>
        </is>
      </c>
    </row>
    <row r="124">
      <c r="A124" s="16" t="inlineStr">
        <is>
          <t>signator-b</t>
        </is>
      </c>
      <c r="B124" s="16" t="inlineStr">
        <is>
          <t>signator (e-posta imzası üreticisi)</t>
        </is>
      </c>
      <c r="C124" s="16" t="inlineStr">
        <is>
          <t>KOBİ ekip paketi: self-servis, aramadan gelen satış</t>
        </is>
      </c>
      <c r="D124" s="16" t="inlineStr">
        <is>
          <t>yazılım ürünü</t>
        </is>
      </c>
      <c r="E124" s="16" t="inlineStr">
        <is>
          <t>10-50 çalışanlı KOBİ; İK ya da idari işler sorumlusu</t>
        </is>
      </c>
      <c r="F124" s="16" t="inlineStr">
        <is>
          <t>Çalışanların imzasında aynı logo, renk ve KVKK altbilgisi görünsün; logo Gmail'de çıksın</t>
        </is>
      </c>
      <c r="G124" s="16" t="inlineStr">
        <is>
          <t>Müşteriden logo görünmüyor geri bildirimi; işe alım dalgası; yönetimin tutarlılık talebi</t>
        </is>
      </c>
      <c r="H124" s="16" t="inlineStr">
        <is>
          <t>Ekip 10 / 30 / 100 paketleri: CSV toplu üretim, marka kilidi, barındırılan görsel, KVKK altbilgi, kurulum rehberleri; 14 gün iade</t>
        </is>
      </c>
      <c r="I124" s="16" t="inlineStr">
        <is>
          <t>990 / 1.990 / 2.990 TL + KDV yıllık; karma ortalama 1.500 TL</t>
        </is>
      </c>
      <c r="J124" s="16" t="inlineStr">
        <is>
          <t>Arama: 6 rehber sayfası (Gmail, Outlook, Apple Mail imza, KVKK altbilgisi, imza oluşturucu)</t>
        </is>
      </c>
      <c r="K124" s="16" t="inlineStr">
        <is>
          <t>Ücretsiz bireysel araçta imza rozeti; kurucunun mevcut ilişkileri; mali müşavir odası duyuruları</t>
        </is>
      </c>
      <c r="L124" s="16" t="inlineStr">
        <is>
          <t>3 günlük sprintle barındırılan görsel ve CSV; ilk 2 rehber sayfası ve Search Console kaydı</t>
        </is>
      </c>
      <c r="M124" s="16" t="inlineStr">
        <is>
          <t>Barındırılan görsel, 3 şablon, CSV toplu üretim, KVKK altbilgi, Shopier ödeme bağlantısı, ilk 3 rehber sayfası</t>
        </is>
      </c>
      <c r="N124" s="16" t="inlineStr">
        <is>
          <t>KOBİ 10-50 çalışan</t>
        </is>
      </c>
      <c r="O124" s="16" t="inlineStr">
        <is>
          <t>içerik</t>
        </is>
      </c>
      <c r="P124" s="16" t="inlineStr">
        <is>
          <t>KVKK</t>
        </is>
      </c>
    </row>
    <row r="125">
      <c r="A125" s="16" t="inlineStr">
        <is>
          <t>signator-c</t>
        </is>
      </c>
      <c r="B125" s="16" t="inlineStr">
        <is>
          <t>signator (e-posta imzası üreticisi)</t>
        </is>
      </c>
      <c r="C125" s="16" t="inlineStr">
        <is>
          <t>Sabit fiyatlı ekip imzası kurulum paketi</t>
        </is>
      </c>
      <c r="D125" s="16" t="inlineStr">
        <is>
          <t>hizmet</t>
        </is>
      </c>
      <c r="E125" s="16" t="inlineStr">
        <is>
          <t>5-50 çalışanlı şirketin marka ya da operasyon sorumlusu; ajansın müşteri onboarding sorumlusu</t>
        </is>
      </c>
      <c r="F125" s="16" t="inlineStr">
        <is>
          <t>5 kişilik bir ekibin imzasını aynı marka ve doğru kurulumla teslim almak</t>
        </is>
      </c>
      <c r="G125" s="16" t="inlineStr">
        <is>
          <t>Yeni çalışan; logo, unvan ya da telefon değişimi; ajansın marka teslimi</t>
        </is>
      </c>
      <c r="H125" s="16" t="inlineStr">
        <is>
          <t>Sabit kit: 5 kişilik CSV, tek şablon, logo barındırma, Gmail ve Outlook kurulum rehberi, istemci kontrolü, 1 revizyon</t>
        </is>
      </c>
      <c r="I125" s="16" t="inlineStr">
        <is>
          <t>1.000 TL + KDV tek seferlik (500-1.500 TL arası teklif testi)</t>
        </is>
      </c>
      <c r="J125" s="16" t="inlineStr">
        <is>
          <t>Kurucunun mevcut danışmanlık ve kurumsal site ilişkileri; birebir teklif</t>
        </is>
      </c>
      <c r="K125" s="16" t="inlineStr">
        <is>
          <t>LinkedIn gönderileri (önce/sonra); ajansın onboarding teslimine ek kalem</t>
        </is>
      </c>
      <c r="L125" s="16" t="inlineStr">
        <is>
          <t>Anonim 5 kişilik örnek imza paketi ve 3 istemci kontrol notu hazırla; 5 mevcut ilişkiye teklif gönder</t>
        </is>
      </c>
      <c r="M125" s="16" t="inlineStr">
        <is>
          <t>Elle hazırlanan 5 kişilik paket: CSV, HTML imza, logo barındırma, Gmail, Outlook, Apple Mail kurulum notu; yazılım geliştirme yok</t>
        </is>
      </c>
      <c r="N125" s="16" t="inlineStr">
        <is>
          <t>5-50 çalışanlı şirket ve ajans</t>
        </is>
      </c>
      <c r="O125" s="16" t="inlineStr">
        <is>
          <t>mevcut müşteri</t>
        </is>
      </c>
      <c r="P125" s="16" t="inlineStr">
        <is>
          <t>KVKK</t>
        </is>
      </c>
    </row>
    <row r="126">
      <c r="A126" s="16" t="inlineStr">
        <is>
          <t>volley-tap-a</t>
        </is>
      </c>
      <c r="B126" s="16" t="inlineStr">
        <is>
          <t>Volley Tap (HTML5 arcade oyunu)</t>
        </is>
      </c>
      <c r="C126" s="16" t="inlineStr">
        <is>
          <t>Kulüp ve markalara sabit paketli kampanya oyunu</t>
        </is>
      </c>
      <c r="D126" s="16" t="inlineStr">
        <is>
          <t>hizmet</t>
        </is>
      </c>
      <c r="E126" s="16" t="inlineStr">
        <is>
          <t>Voleybol kulübü ya da bölgesel marka ve ajansın sosyal medya ve pazarlama sorumlusu</t>
        </is>
      </c>
      <c r="F126" s="16" t="inlineStr">
        <is>
          <t>Maç günü, sezon açılışı ya da yaz kampanyası için paylaşılabilir, kurulumsuz, veri toplamayan marka oyunu</t>
        </is>
      </c>
      <c r="G126" s="16" t="inlineStr">
        <is>
          <t>Sezon açılışı, sponsor talebi, kampanya takvimi; ajans teklifinin pahalı ve yavaş kalması</t>
        </is>
      </c>
      <c r="H126" s="16" t="inlineStr">
        <is>
          <t>Kulüp renkleri ve logosuyla 2 haftada teslim, kişisel veri toplamaz, kampanya sonu oynanış raporu, %50 ön ödeme</t>
        </is>
      </c>
      <c r="I126" s="16" t="inlineStr">
        <is>
          <t>25.000 TL + KDV (15.000 tema ve logo; 40.000 çoklu mod ve 3 ay güncelleme); barındırma ayda 1.500 TL</t>
        </is>
      </c>
      <c r="J126" s="16" t="inlineStr">
        <is>
          <t>Kurucunun mevcut ilişkileri ve LinkedIn ile Instagram'dan kişisel mesaj (haftada 15)</t>
        </is>
      </c>
      <c r="K126" s="16" t="inlineStr">
        <is>
          <t>Butik dijital ajanslara beyaz etiketli şablon; il voleybol temsilcilikleri</t>
        </is>
      </c>
      <c r="L126" s="16" t="inlineStr">
        <is>
          <t>AI rakipli demo çıkar; 10 kulüp ve marka listesi yap; mevcut ilişkilerden 3 kişiyle demo görüşmesi iste</t>
        </is>
      </c>
      <c r="M126" s="16" t="inlineStr">
        <is>
          <t>AI rakip, katmanlı hafif varlıklar, 320-390 px dokunmatik, skor paylaşım ekranı, elle tema (renk, logo); tema dosyası ve panel sonra</t>
        </is>
      </c>
      <c r="N126" s="16" t="inlineStr">
        <is>
          <t>Spor kulüpleri ve bölgesel markalar</t>
        </is>
      </c>
      <c r="O126" s="16" t="inlineStr">
        <is>
          <t>kurucu satışı</t>
        </is>
      </c>
      <c r="P126" s="16" t="inlineStr">
        <is>
          <t>KVKK</t>
        </is>
      </c>
    </row>
    <row r="127">
      <c r="A127" s="16" t="inlineStr">
        <is>
          <t>volley-tap-b</t>
        </is>
      </c>
      <c r="B127" s="16" t="inlineStr">
        <is>
          <t>Volley Tap (HTML5 arcade oyunu)</t>
        </is>
      </c>
      <c r="C127" s="16" t="inlineStr">
        <is>
          <t>CrazyGames ve Yandex Games portal reklam geliri</t>
        </is>
      </c>
      <c r="D127" s="16" t="inlineStr">
        <is>
          <t>yazılım ürünü</t>
        </is>
      </c>
      <c r="E127" s="16" t="inlineStr">
        <is>
          <t>Portal oyuncusu (13-25, mobil tarayıcı); oyuncu ödemez, gelir portalın reklam payıdır ve pay ile eCPM yayımlanmamıştır</t>
        </is>
      </c>
      <c r="F127" s="16" t="inlineStr">
        <is>
          <t>1-3 dakikalık, kurulumsuz, telefonda 1v1 ya da bilgisayara karşı eğlence</t>
        </is>
      </c>
      <c r="G127" s="16" t="inlineStr">
        <is>
          <t>Oyuncu portalda spor ve 2 oyunculu listelerinde yeni oyun arar; tetikleyici portal öneri listesi</t>
        </is>
      </c>
      <c r="H127" s="16" t="inlineStr">
        <is>
          <t>Ücretsiz oyun; AI rakipli, 3 dakikalık maç, TR ve EN, 5 MB altında açılış; gelir reklam payı ve aylık ödeme</t>
        </is>
      </c>
      <c r="I127" s="16" t="inlineStr">
        <is>
          <t>Oyuncuya ücretsiz; reklam payı portalın belirlediği oran (Poki 50/50, diğerleri yayımlanmıyor)</t>
        </is>
      </c>
      <c r="J127" s="16" t="inlineStr">
        <is>
          <t>CrazyGames açık gönderim ve Basic Launch (7-21 gün)</t>
        </is>
      </c>
      <c r="K127" s="16" t="inlineStr">
        <is>
          <t>Yandex Games konsolu; Poki playtest başvurusu (kabulde münhasırlık kararı)</t>
        </is>
      </c>
      <c r="L127" s="16" t="inlineStr">
        <is>
          <t>AI rakip, varlık sıkıştırma ve SDK ile gönderilebilir sürüm çıkar; CrazyGames Basic Launch'a gönder</t>
        </is>
      </c>
      <c r="M127" s="16" t="inlineStr">
        <is>
          <t>AI rakip, 2 mod, 2 MB altında varlıklar, kaynak haritasız yapı, CrazyGames SDK, TR ve EN, 320-390 px testi</t>
        </is>
      </c>
      <c r="N127" s="16" t="inlineStr">
        <is>
          <t>Mobil tarayıcı oyuncusu ve oyun portalları</t>
        </is>
      </c>
      <c r="O127" s="16" t="inlineStr">
        <is>
          <t>pazar yeri</t>
        </is>
      </c>
      <c r="P127" s="16" t="inlineStr">
        <is>
          <t>KVKK</t>
        </is>
      </c>
    </row>
    <row r="128">
      <c r="A128" s="16" t="inlineStr">
        <is>
          <t>volley-tap-c</t>
        </is>
      </c>
      <c r="B128" s="16" t="inlineStr">
        <is>
          <t>Volley Tap (HTML5 arcade oyunu)</t>
        </is>
      </c>
      <c r="C128" s="16" t="inlineStr">
        <is>
          <t>itch.io tarayıcı demo ve ücretli premium paket</t>
        </is>
      </c>
      <c r="D128" s="16" t="inlineStr">
        <is>
          <t>yazılım ürünü</t>
        </is>
      </c>
      <c r="E128" s="16" t="inlineStr">
        <is>
          <t>16 yaş üstü rahat oyuncu; aynı ekranda oynayan iki arkadaş; ikincil olarak küçük etkinlik düzenleyicisi</t>
        </is>
      </c>
      <c r="F128" s="16" t="inlineStr">
        <is>
          <t>Açıklama okumadan, iki kişi tek ekranda kısa voleybol maçı yapmak; etkinlikte markalı maç</t>
        </is>
      </c>
      <c r="G128" s="16" t="inlineStr">
        <is>
          <t>Arkadaşıyla rövanş isteği; paylaşılan klip; etkinlik düzenleyicisinin markalı maç ihtiyacı</t>
        </is>
      </c>
      <c r="H128" s="16" t="inlineStr">
        <is>
          <t>Girişsiz ücretsiz ilk maç; tam sürüm ve arena/görünüm paketi için 3 dolarlık premium hipotezi; etkinlik sürümü sinyal yok, teklif dışı</t>
        </is>
      </c>
      <c r="I128" s="16" t="inlineStr">
        <is>
          <t>2-5 dolar premium hipotezi (3 dolar yaklaşık 144 TL); etkinlik sürümü (150-500 dolar) yalnız hipotez, henüz fiyatlanmadı</t>
        </is>
      </c>
      <c r="J128" s="16" t="inlineStr">
        <is>
          <t>itch.io tarayıcı demo sayfası, spor ve yerel çok oyunculu etiketleriyle</t>
        </is>
      </c>
      <c r="K128" s="16" t="inlineStr">
        <is>
          <t>Reddit r/playmygame ve r/WebGames (kural gözeten haftada bir gönderi); 20 saniyelik klip</t>
        </is>
      </c>
      <c r="L128" s="16" t="inlineStr">
        <is>
          <t>320 px kontrol, öğretici, duraklat, ekran dönüşü sürekliliği ve itch demo sayfası; ilk 20 oyuncuyla ölçüm</t>
        </is>
      </c>
      <c r="M128" s="16" t="inlineStr">
        <is>
          <t>P0: kontroller, öğretici, rematch, yön değişimi; P1: itch demo, kapak, premium paket, destek ve iade bilgisi</t>
        </is>
      </c>
      <c r="N128" s="16" t="inlineStr">
        <is>
          <t>Rahat oyuncu ve yerel çok oyunculu arkadaşlar</t>
        </is>
      </c>
      <c r="O128" s="16" t="inlineStr">
        <is>
          <t>topluluk</t>
        </is>
      </c>
      <c r="P128" s="16" t="inlineStr">
        <is>
          <t>yok</t>
        </is>
      </c>
    </row>
    <row r="129">
      <c r="A129" s="16" t="inlineStr">
        <is>
          <t>woocommnts-a</t>
        </is>
      </c>
      <c r="B129" s="16" t="inlineStr">
        <is>
          <t>WooCommerce yorum ve taksit eklentisi (WooCommnts)</t>
        </is>
      </c>
      <c r="C129" s="16" t="inlineStr">
        <is>
          <t>Taksit ve kapıda ödeme eklentisi: ücretsiz çekirdek + Pro</t>
        </is>
      </c>
      <c r="D129" s="16" t="inlineStr">
        <is>
          <t>eklenti</t>
        </is>
      </c>
      <c r="E129" s="16" t="inlineStr">
        <is>
          <t>Küçük Türk WooCommerce mağaza sahibi (ayda 50-500 sipariş, kapıda ödeme sunan), PayTR dışı ya da çok geçitli</t>
        </is>
      </c>
      <c r="F129" s="16" t="inlineStr">
        <is>
          <t>Ürün sayfasında banka bazlı taksit tablosu göstermek, kategoriye göre azami taksiti ve kapıda ödeme kuralını yönetmek</t>
        </is>
      </c>
      <c r="G129" s="16" t="inlineStr">
        <is>
          <t>Kapıda ödeme iadesinin yaşandığı hafta, kampanya dönemi (11.11, Black Friday) ve blok ödeme sayfasına geçiş</t>
        </is>
      </c>
      <c r="H129" s="16" t="inlineStr">
        <is>
          <t>Ücretsiz çekirdek (taksit tablosu, 1 kapıda ödeme kuralı); Pro: sınırsız kural, uzaktan oran güncelleme, çok geçit eşleme</t>
        </is>
      </c>
      <c r="I129" s="16" t="inlineStr">
        <is>
          <t>Pro tek site 1.490 TL/yıl + KDV; ajans 10 site 2.990 TL/yıl; 14 gün koşulsuz iade</t>
        </is>
      </c>
      <c r="J129" s="16" t="inlineStr">
        <is>
          <t>wordpress.org eklenti dizini ('taksit', 'kapıda ödeme' aramaları) ve eklenti içi Pro kartı</t>
        </is>
      </c>
      <c r="K129" s="16" t="inlineStr">
        <is>
          <t>Kurucunun e-ticaret programı ve diğer ürününün kullanıcıları; WooCommerce Türkiye toplulukları; rehber yazıları</t>
        </is>
      </c>
      <c r="L129" s="16" t="inlineStr">
        <is>
          <t>Bağımlılıkları kur, testleri yeşile çek, wordpress.org'da 'taksit' rakip kurulum doğrulamasını yap, ilk 5 pilot mağazayı davet et</t>
        </is>
      </c>
      <c r="M129" s="16" t="inlineStr">
        <is>
          <t>CSV ile banka oran tablosu, ürün sayfası tablosu (kısa kod ve blok), kategori azami taksit, kapıda ödeme tutar/il kuralı ve ek ücret satırı, 320 px tablo, lisans anahtarı</t>
        </is>
      </c>
      <c r="N129" s="16" t="inlineStr">
        <is>
          <t>Türk WooCommerce mağazaları ve ajansları</t>
        </is>
      </c>
      <c r="O129" s="16" t="inlineStr">
        <is>
          <t>pazar yeri</t>
        </is>
      </c>
      <c r="P129" s="16" t="inlineStr">
        <is>
          <t>mevzuata bağlı</t>
        </is>
      </c>
    </row>
    <row r="130">
      <c r="A130" s="16" t="inlineStr">
        <is>
          <t>woocommnts-b</t>
        </is>
      </c>
      <c r="B130" s="16" t="inlineStr">
        <is>
          <t>WooCommerce yorum ve taksit eklentisi (WooCommnts)</t>
        </is>
      </c>
      <c r="C130" s="16" t="inlineStr">
        <is>
          <t>Ajans paketi: 10 site lisanslı taksit ve kapıda ödeme eklentisi</t>
        </is>
      </c>
      <c r="D130" s="16" t="inlineStr">
        <is>
          <t>eklenti</t>
        </is>
      </c>
      <c r="E130" s="16" t="inlineStr">
        <is>
          <t>10-30 WooCommerce mağazası kuran Türk ajansı veya serbest geliştirici</t>
        </is>
      </c>
      <c r="F130" s="16" t="inlineStr">
        <is>
          <t>Her müşteri mağazasında aynı, test edilmiş taksit tablosu ve kapıda ödeme kuralını kurmak; geçit değişince yeniden yazmamak</t>
        </is>
      </c>
      <c r="G130" s="16" t="inlineStr">
        <is>
          <t>Yeni mağaza kurulumu, müşterinin blok ödeme sayfasına geçişi, bir müşteride yanlış taksit gösterimi</t>
        </is>
      </c>
      <c r="H130" s="16" t="inlineStr">
        <is>
          <t>Pro özellikleri 10 siteye tek lisansla, öncelikli destek, CSV ile mağazadan mağazaya oran kopyalama, ilk mağazada birlikte kurulum</t>
        </is>
      </c>
      <c r="I130" s="16" t="inlineStr">
        <is>
          <t>2.990 TL/yıl + KDV (10 site); 14 gün koşulsuz iade; havale veya iyzico</t>
        </is>
      </c>
      <c r="J130" s="16" t="inlineStr">
        <is>
          <t>Kurucunun ajanslara doğrudan e-postası ve LinkedIn mesajı (20 Türk WooCommerce ajansı listesi)</t>
        </is>
      </c>
      <c r="K130" s="16" t="inlineStr">
        <is>
          <t>WordPress Türkiye toplulukları, Türkçe WordPress blogları, wordpress.org eklenti sayfası</t>
        </is>
      </c>
      <c r="L130" s="16" t="inlineStr">
        <is>
          <t>20 ajansı ve serbest geliştiriciyi isimle listele; 10'una 15 dakikalık geri bildirim karşılığı Pro lisans teklifi gönder</t>
        </is>
      </c>
      <c r="M130" s="16" t="inlineStr">
        <is>
          <t>Seçenek A'nın MVP'si + lisans anahtarı + ajans paketi (10 site) ve ilk mağazada birlikte kurulum; çoklu geçit eşleme yol haritasında</t>
        </is>
      </c>
      <c r="N130" s="16" t="inlineStr">
        <is>
          <t>WooCommerce ajansları ve serbest geliştiriciler</t>
        </is>
      </c>
      <c r="O130" s="16" t="inlineStr">
        <is>
          <t>kurucu satışı</t>
        </is>
      </c>
      <c r="P130" s="16" t="inlineStr">
        <is>
          <t>mevzuata bağlı</t>
        </is>
      </c>
    </row>
    <row r="131">
      <c r="A131" s="16" t="inlineStr">
        <is>
          <t>woocommnts-c</t>
        </is>
      </c>
      <c r="B131" s="16" t="inlineStr">
        <is>
          <t>WooCommerce yorum ve taksit eklentisi (WooCommnts)</t>
        </is>
      </c>
      <c r="C131" s="16" t="inlineStr">
        <is>
          <t>Yorum göç hizmeti: izinli yorumları doğru ürüne eşleme</t>
        </is>
      </c>
      <c r="D131" s="16" t="inlineStr">
        <is>
          <t>hizmet</t>
        </is>
      </c>
      <c r="E131" s="16" t="inlineStr">
        <is>
          <t>Katalog göçü yapan küçük WooCommerce mağazası veya göçü birçok mağazaya uygulayan ajans</t>
        </is>
      </c>
      <c r="F131" s="16" t="inlineStr">
        <is>
          <t>Mevcut izinli gerçek yorumları doğru ürüne bağlamak, tekrarı ve kaynak tarihi kaybını önlemek</t>
        </is>
      </c>
      <c r="G131" s="16" t="inlineStr">
        <is>
          <t>Katalog göçü ya da yorum slider kurulumu sırasında yanlış ürüne yorum, tekrar kayıt veya tarih kaybı</t>
        </is>
      </c>
      <c r="H131" s="16" t="inlineStr">
        <is>
          <t>Sabit kapsamlı tek göç: kaynak kimliği eşleme, deneme çalıştırması, tekrar kontrolü, onaylı yayın ve geri alma</t>
        </is>
      </c>
      <c r="I131" s="16" t="inlineStr">
        <is>
          <t>Tek göç 4.000 TL + KDV (aralık 3.000-8.000 TL, mağaza büyüklüğüne göre)</t>
        </is>
      </c>
      <c r="J131" s="16" t="inlineStr">
        <is>
          <t>Ücretsiz herkese açık doğru/tekrar/yanlış ürün örnek paketi (GitHub) ve WooCommerce topluluk yanıtları</t>
        </is>
      </c>
      <c r="K131" s="16" t="inlineStr">
        <is>
          <t>WooCommerce ajanslarına göç teslimi teklifi; kod hazır olursa wordpress.org ücretsiz bağlayıcı</t>
        </is>
      </c>
      <c r="L131" s="16" t="inlineStr">
        <is>
          <t>Örnek paketi 16-24 saatte hazırla, 3 mağazadan izinli göç verisi iste, tek göç için fiyat teklifi dene</t>
        </is>
      </c>
      <c r="M131" s="16" t="inlineStr">
        <is>
          <t>Elle ve betikle yürütülen tek göç: kaynak-ürün eşleme tablosu, tekrar önizlemesi, onay sonrası yayın; araç yalnız teslimi hızlandırır</t>
        </is>
      </c>
      <c r="N131" s="16" t="inlineStr">
        <is>
          <t>WooCommerce mağazaları ve ajansları (göç)</t>
        </is>
      </c>
      <c r="O131" s="16" t="inlineStr">
        <is>
          <t>topluluk</t>
        </is>
      </c>
      <c r="P131" s="16" t="inlineStr">
        <is>
          <t>KVKK</t>
        </is>
      </c>
    </row>
    <row r="132">
      <c r="A132" s="16" t="inlineStr">
        <is>
          <t>egitim-demolari-a</t>
        </is>
      </c>
      <c r="B132" s="16" t="inlineStr">
        <is>
          <t>Etkileşimli eğitim içeriği demoları</t>
        </is>
      </c>
      <c r="C132" s="16" t="inlineStr">
        <is>
          <t>Tek kazanımlı ders paketi (rehber ve cevap anahtarı)</t>
        </is>
      </c>
      <c r="D132" s="16" t="inlineStr">
        <is>
          <t>içerik</t>
        </is>
      </c>
      <c r="E132" s="16" t="inlineStr">
        <is>
          <t>Ortaokul ve lise öğretmenleri, özel ders veren eğitmenler, ebeveynler</t>
        </is>
      </c>
      <c r="F132" s="16" t="inlineStr">
        <is>
          <t>Tek bir kazanım ya da kavram için hazır, doğrulanmış ders etkinliği ve açıklamalı çözüm hazırlamak</t>
        </is>
      </c>
      <c r="G132" s="16" t="inlineStr">
        <is>
          <t>Haftalık ders hazırlığı; yeni dönem ya da konu başlangıcı</t>
        </is>
      </c>
      <c r="H132" s="16" t="inlineStr">
        <is>
          <t>PDF ve statik demo bağlantısı: öğretmen rehberi, 3 senaryo sonucu, 20 doğrulanmış soru ve cevap anahtarı (kapsam ve adetler kurucu varsayımı)</t>
        </is>
      </c>
      <c r="I132" s="16" t="inlineStr">
        <is>
          <t>600 TL tek seferlik paket (varsayım); 3 paket 1.500 TL</t>
        </is>
      </c>
      <c r="J132" s="16" t="inlineStr">
        <is>
          <t>Öğretmen paylaşım toplulukları ve eğitmen grupları (ücretsiz örnek ders ile)</t>
        </is>
      </c>
      <c r="K132" s="16" t="inlineStr">
        <is>
          <t>Kurucunun içerik sayfası ve eğitmen referansları; pazar yeri kaynakta yok, varsayım</t>
        </is>
      </c>
      <c r="L132" s="16" t="inlineStr">
        <is>
          <t>Tek kazanım seçip ücretsiz örnek dersi hazırlamak ve 20 öğretmene göndermek</t>
        </is>
      </c>
      <c r="M132" s="16" t="inlineStr">
        <is>
          <t>Bir kazanım için rehber, 20 soru ve anahtar ile örnek sonuç; çocuk verisi toplamayan statik demo</t>
        </is>
      </c>
      <c r="N132" s="16" t="inlineStr">
        <is>
          <t>Öğretmen ve eğitmen</t>
        </is>
      </c>
      <c r="O132" s="16" t="inlineStr">
        <is>
          <t>topluluk</t>
        </is>
      </c>
      <c r="P132" s="16" t="inlineStr">
        <is>
          <t>yok</t>
        </is>
      </c>
    </row>
    <row r="133">
      <c r="A133" s="16" t="inlineStr">
        <is>
          <t>egitim-demolari-b</t>
        </is>
      </c>
      <c r="B133" s="16" t="inlineStr">
        <is>
          <t>Etkileşimli eğitim içeriği demoları</t>
        </is>
      </c>
      <c r="C133" s="16" t="inlineStr">
        <is>
          <t>Ekip atölyesi: prensipleri kendi işine uyarlama</t>
        </is>
      </c>
      <c r="D133" s="16" t="inlineStr">
        <is>
          <t>hizmet</t>
        </is>
      </c>
      <c r="E133" s="16" t="inlineStr">
        <is>
          <t>Yazılım ve ürün ekip liderleri, çevik koçluk yapan danışmanlar, eğitim sağlayıcılar</t>
        </is>
      </c>
      <c r="F133" s="16" t="inlineStr">
        <is>
          <t>Yeni ekibe soyut prensipleri kendi haftalık teslim problemi üzerinden öğretmek, eylem kaydı çıkarmak</t>
        </is>
      </c>
      <c r="G133" s="16" t="inlineStr">
        <is>
          <t>Yeni ekip kurulumu, onboarding dönemi, süreç değişimi</t>
        </is>
      </c>
      <c r="H133" s="16" t="inlineStr">
        <is>
          <t>20 dakikalık mini ders, 3 prensip sunumu, tek gerçek ekip senaryosu, çalışma sayfası ve eylem kaydı</t>
        </is>
      </c>
      <c r="I133" s="16" t="inlineStr">
        <is>
          <t>6.000 TL sabit atölye paketi</t>
        </is>
      </c>
      <c r="J133" s="16" t="inlineStr">
        <is>
          <t>Kurucunun doğrudan tanıdığı ekip liderleri ve eğitim veren danışmanlar</t>
        </is>
      </c>
      <c r="K133" s="16" t="inlineStr">
        <is>
          <t>Ücretsiz prensip demosu ve arama sayfası; eğitim partnerleri tekrar dağıtır</t>
        </is>
      </c>
      <c r="L133" s="16" t="inlineStr">
        <is>
          <t>Bir ekipten tek sorun toplayıp 20 dakikalık ücretsiz mini ders uygulamak</t>
        </is>
      </c>
      <c r="M133" s="16" t="inlineStr">
        <is>
          <t>3 prensip için sunum, çalışma sayfası ve ekip senaryosuna uyarlanmış eylem kaydı</t>
        </is>
      </c>
      <c r="N133" s="16" t="inlineStr">
        <is>
          <t>Ekip liderleri ve çevik danışmanlar</t>
        </is>
      </c>
      <c r="O133" s="16" t="inlineStr">
        <is>
          <t>kurucu satışı</t>
        </is>
      </c>
      <c r="P133" s="16" t="inlineStr">
        <is>
          <t>yok</t>
        </is>
      </c>
    </row>
    <row r="134">
      <c r="A134" s="16" t="inlineStr">
        <is>
          <t>baz-secenekler-a</t>
        </is>
      </c>
      <c r="B134" s="16" t="inlineStr">
        <is>
          <t>Baz seçenekler: günlük danışmanlık, kod satışı, hibe başvurusu</t>
        </is>
      </c>
      <c r="C134" s="16" t="inlineStr">
        <is>
          <t>Günlük ücretli danışmanlık ya da yazılım işi (aynı saatlerde)</t>
        </is>
      </c>
      <c r="D134" s="16" t="inlineStr">
        <is>
          <t>hizmet</t>
        </is>
      </c>
      <c r="E134" s="16" t="inlineStr">
        <is>
          <t>Mevcut ilişkiler: bir kahve zinciri ve yazılım ihtiyacı olan bir inşaat firması</t>
        </is>
      </c>
      <c r="F134" s="16" t="inlineStr">
        <is>
          <t>Kurucunun saatini sabit çıktılı gün paketi olarak satmak: ölçüm kurulumu, entegrasyon yönetimi ya da küçük yazılım işi</t>
        </is>
      </c>
      <c r="G134" s="16" t="inlineStr">
        <is>
          <t>Müşterinin sahipsiz kalan iş devri; yıl sonu e-ticaret sezonu; mevzuat değişikliği sonrası güncelleme ihtiyacı</t>
        </is>
      </c>
      <c r="H134" s="16" t="inlineStr">
        <is>
          <t>5 günlük paket: yazılı çıktı listesi, kabul ölçütü, 30 gün fesih; haftalık rapor. İkinci pakette aylık yönetime geçiş önerilir</t>
        </is>
      </c>
      <c r="I134" s="16" t="inlineStr">
        <is>
          <t>Yazılı teklif 4.000 ₺/gün; 6.000 ₺/gün hedeftir, kanıtsız. 5 günlük aylık paket 20.000 ₺ + KDV (4.000 ₺/gün)</t>
        </is>
      </c>
      <c r="J134" s="16" t="inlineStr">
        <is>
          <t>Kurucu satışı: iki mevcut ilişkiye yazılı gün paketi teklifi</t>
        </is>
      </c>
      <c r="K134" s="16" t="inlineStr">
        <is>
          <t>Mali müşavir ve ajans tanıdıkları üzerinden ikinci derece tanıtım; LinkedIn kişisel mesaj</t>
        </is>
      </c>
      <c r="L134" s="16" t="inlineStr">
        <is>
          <t>Tek sayfalık 5 günlük paket teklifi yaz ve iki mevcut ilişkiye gönder</t>
        </is>
      </c>
      <c r="M134" s="16" t="inlineStr">
        <is>
          <t>Elle sunulur: ölçüm denetimi ve kurulum günü ya da küçük bir hakediş hesabı prototipi; yeni ürün gerekmez, teklif sayfası yeter.</t>
        </is>
      </c>
      <c r="N134" s="16" t="inlineStr">
        <is>
          <t>Mevcut ilişkiler: zincir ve inşaat firması</t>
        </is>
      </c>
      <c r="O134" s="16" t="inlineStr">
        <is>
          <t>mevcut müşteri</t>
        </is>
      </c>
      <c r="P134" s="16" t="inlineStr">
        <is>
          <t>yok</t>
        </is>
      </c>
    </row>
    <row r="135">
      <c r="A135" s="16" t="inlineStr">
        <is>
          <t>baz-secenekler-b</t>
        </is>
      </c>
      <c r="B135" s="16" t="inlineStr">
        <is>
          <t>Baz seçenekler: günlük danışmanlık, kod satışı, hibe başvurusu</t>
        </is>
      </c>
      <c r="C135" s="16" t="inlineStr">
        <is>
          <t>Mevcut Django kod tabanının ajanslara kurulumlu satışı</t>
        </is>
      </c>
      <c r="D135" s="16" t="inlineStr">
        <is>
          <t>kod satışı</t>
        </is>
      </c>
      <c r="E135" s="16" t="inlineStr">
        <is>
          <t>Restoran müşterisine kendi markalı QR menü sunmak isteyen, Django barındırabilen küçük web ajansları</t>
        </is>
      </c>
      <c r="F135" s="16" t="inlineStr">
        <is>
          <t>Ajansın betik satın alıp 2-4 hafta uyarlama ve bakım riski taşımasını, test edilmiş Türkçe çekirdekle kısaltmak</t>
        </is>
      </c>
      <c r="G135" s="16" t="inlineStr">
        <is>
          <t>Masada QR ile fiyat listesini resmi yöntem sayan yönetmelik değişikliği iddiası (metin doğrulanmadı) sonrası restoran talebi</t>
        </is>
      </c>
      <c r="H135" s="16" t="inlineStr">
        <is>
          <t>Kendi marka ve sunucuda Docker kurulumu, 2 dil, KVKK metni, 30 gün hata düzeltme; kullanım lisansı, yeniden satış yasak</t>
        </is>
      </c>
      <c r="I135" s="16" t="inlineStr">
        <is>
          <t>15.000 ₺ kurulum; 25.000 ₺ kurulum + 20 saat uyarlama + ödeme bağlantısı; bakım 6.000 ₺/yıl; KDV hariç</t>
        </is>
      </c>
      <c r="J135" s="16" t="inlineStr">
        <is>
          <t>Kurucu satışı: restoran sitesi yapan 40 ajansa kişisel LinkedIn mesajı ve e-posta</t>
        </is>
      </c>
      <c r="K135" s="16" t="inlineStr">
        <is>
          <t>Zabuno destek kuyruğuna gelen ajans talepleri; kodun arşiv deposundaki iletişim notu</t>
        </is>
      </c>
      <c r="L135" s="16" t="inlineStr">
        <is>
          <t>40 ajanslık listeyi çıkar; 'Django barındırabilir misiniz?' eleme sorusuyla ilk 10 mesajı gönder</t>
        </is>
      </c>
      <c r="M135" s="16" t="inlineStr">
        <is>
          <t>İki kopyayı birleştir, yayın öncesi temizliği yap, ödeme sağlayıcı bağlantısını ekle, çok kiracılı ara katmanı aç; Docker kurulum rehberi yaz.</t>
        </is>
      </c>
      <c r="N135" s="16" t="inlineStr">
        <is>
          <t>Küçük web ajansları (restoran işi yapan)</t>
        </is>
      </c>
      <c r="O135" s="16" t="inlineStr">
        <is>
          <t>kurucu satışı</t>
        </is>
      </c>
      <c r="P135" s="16" t="inlineStr">
        <is>
          <t>KVKK</t>
        </is>
      </c>
    </row>
    <row r="136">
      <c r="A136" s="16" t="inlineStr">
        <is>
          <t>baz-secenekler-c</t>
        </is>
      </c>
      <c r="B136" s="16" t="inlineStr">
        <is>
          <t>Baz seçenekler: günlük danışmanlık, kod satışı, hibe başvurusu</t>
        </is>
      </c>
      <c r="C136" s="16" t="inlineStr">
        <is>
          <t>Kamu destek programı başvurusu: TÜBİTAK 1812 ön tohum yatırımı</t>
        </is>
      </c>
      <c r="D136" s="16" t="inlineStr">
        <is>
          <t>diğer</t>
        </is>
      </c>
      <c r="E136" s="16" t="inlineStr">
        <is>
          <t>Kamu destek programı (fon veren): ön tohum aşamasında teknoloji girişimlerine pay karşılığı yatırım yapan program</t>
        </is>
      </c>
      <c r="F136" s="16" t="inlineStr">
        <is>
          <t>Bir proje için başvuru dosyası hazırlayıp pay karşılığı ön tohum fonu almak; hibe değil, seyreltici yatırım</t>
        </is>
      </c>
      <c r="G136" s="16" t="inlineStr">
        <is>
          <t>Dönemsel çağrı penceresi; 2026-1 çağrısı Haziran-Temmuz'da kapandı, sonuçlar Eylül'de açıklandı</t>
        </is>
      </c>
      <c r="H136" s="16" t="inlineStr">
        <is>
          <t>Girişim başvurusu: proje, pazar ve ekip dosyası; programın 1.350.000 ₺ tutarını ve izlemede en çok aynı tutarda devam desteğini hedefler</t>
        </is>
      </c>
      <c r="I136" s="16" t="inlineStr">
        <is>
          <t>1.350.000 ₺ karşılığı yaklaşık %3 pay; temiz teknoloji kolunda 2.250.000 ₺ karşılığı %5 pay</t>
        </is>
      </c>
      <c r="J136" s="16" t="inlineStr">
        <is>
          <t>TÜBİTAK 1812 başvuru sistemi, yeni çağrı duyurusu açıldığında</t>
        </is>
      </c>
      <c r="K136" s="16" t="inlineStr">
        <is>
          <t>Üniversite teknoloji transfer ofisi duyuruları; kamu yatırım destek portalındaki ücretsiz program listesi</t>
        </is>
      </c>
      <c r="L136" s="16" t="inlineStr">
        <is>
          <t>Sonraki çağrı tarihini ve uygunluk şartlarını (şirket yapısı, girişim rozeti) yazılı doğrula</t>
        </is>
      </c>
      <c r="M136" s="16" t="inlineStr">
        <is>
          <t>Seçilecek tek proje için başvuru dosyası: problem, ilk müşteri hipotezi, 6 aylık plan ve bütçe. Dosya hazırlığı 40-80 saattir.</t>
        </is>
      </c>
      <c r="N136" s="16" t="inlineStr">
        <is>
          <t>Kamu destek programı (ön tohum)</t>
        </is>
      </c>
      <c r="O136" s="16" t="inlineStr">
        <is>
          <t>ortak</t>
        </is>
      </c>
      <c r="P136" s="16" t="inlineStr">
        <is>
          <t>mevzuata bağlı</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L13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60" customWidth="1" min="12" max="12"/>
  </cols>
  <sheetData>
    <row r="1">
      <c r="A1" s="1" t="inlineStr">
        <is>
          <t>Kapılar</t>
        </is>
      </c>
    </row>
    <row r="2">
      <c r="A2" s="3" t="inlineStr">
        <is>
          <t>Değerler: gecti, test, kaldi. Biri kaldi ise sonuç kaldi; değilse biri test ise sonuç test.</t>
        </is>
      </c>
    </row>
    <row r="4">
      <c r="A4" s="4" t="inlineStr">
        <is>
          <t>Kimlik</t>
        </is>
      </c>
      <c r="B4" s="4" t="inlineStr">
        <is>
          <t>Seçenek</t>
        </is>
      </c>
      <c r="C4" s="4" t="inlineStr">
        <is>
          <t>G1 Haklar</t>
        </is>
      </c>
      <c r="D4" s="4" t="inlineStr">
        <is>
          <t>G2 Hukuk ve uyum</t>
        </is>
      </c>
      <c r="E4" s="4" t="inlineStr">
        <is>
          <t>G3 Tahsilat yolu</t>
        </is>
      </c>
      <c r="F4" s="4" t="inlineStr">
        <is>
          <t>G4 Ödeyecek alıcı</t>
        </is>
      </c>
      <c r="G4" s="4" t="inlineStr">
        <is>
          <t>G5 Reklamsız kanal</t>
        </is>
      </c>
      <c r="H4" s="4" t="inlineStr">
        <is>
          <t>G6 Süre</t>
        </is>
      </c>
      <c r="I4" s="4" t="inlineStr">
        <is>
          <t>G7 Riske edilen nakit</t>
        </is>
      </c>
      <c r="J4" s="4" t="inlineStr">
        <is>
          <t>G8 Standart teslim</t>
        </is>
      </c>
      <c r="K4" s="4" t="inlineStr">
        <is>
          <t>Sonuç</t>
        </is>
      </c>
      <c r="L4" s="4" t="inlineStr">
        <is>
          <t>Kapılar nasıl geçilir</t>
        </is>
      </c>
    </row>
    <row r="5">
      <c r="A5" s="7" t="str">
        <f>Secenekler!A5</f>
        <v>zabuno-a</v>
      </c>
      <c r="B5" s="7" t="str">
        <f>Secenekler!C5</f>
        <v>Kafe aboneliği: kurulum dahil Restaurant planı</v>
      </c>
      <c r="C5" s="17" t="inlineStr">
        <is>
          <t>test</t>
        </is>
      </c>
      <c r="D5" s="17" t="inlineStr">
        <is>
          <t>test</t>
        </is>
      </c>
      <c r="E5" s="17" t="inlineStr">
        <is>
          <t>test</t>
        </is>
      </c>
      <c r="F5" s="17" t="inlineStr">
        <is>
          <t>test</t>
        </is>
      </c>
      <c r="G5" s="17" t="inlineStr">
        <is>
          <t>gecti</t>
        </is>
      </c>
      <c r="H5" s="17" t="inlineStr">
        <is>
          <t>test</t>
        </is>
      </c>
      <c r="I5" s="17" t="inlineStr">
        <is>
          <t>test</t>
        </is>
      </c>
      <c r="J5" s="17" t="inlineStr">
        <is>
          <t>gecti</t>
        </is>
      </c>
      <c r="K5" s="7" t="str">
        <f>IF(COUNTIF(C5:J5,"kaldi")&gt;0,"kaldi",IF(COUNTIF(C5:J5,"test")&gt;0,"test","gecti"))</f>
        <v>test</v>
      </c>
      <c r="L5" s="16" t="inlineStr">
        <is>
          <t>G1: lisansı sahiple netleştir. G2: hukukçu teyidi, aktarım dayanağı. G3: satıcı bilgileri, KDV. G4: 20 kişilik liste. G6: 2 saatlik kod denetimi. G7: hukukçu kapsamı, aylık giderli nakit hesabı.</t>
        </is>
      </c>
    </row>
    <row r="6">
      <c r="A6" s="7" t="str">
        <f>Secenekler!A6</f>
        <v>zabuno-b</v>
      </c>
      <c r="B6" s="7" t="str">
        <f>Secenekler!C6</f>
        <v>Zincir planı: çok şubeli kahve zinciri pilotu</v>
      </c>
      <c r="C6" s="17" t="inlineStr">
        <is>
          <t>test</t>
        </is>
      </c>
      <c r="D6" s="17" t="inlineStr">
        <is>
          <t>test</t>
        </is>
      </c>
      <c r="E6" s="17" t="inlineStr">
        <is>
          <t>test</t>
        </is>
      </c>
      <c r="F6" s="17" t="inlineStr">
        <is>
          <t>test</t>
        </is>
      </c>
      <c r="G6" s="17" t="inlineStr">
        <is>
          <t>gecti</t>
        </is>
      </c>
      <c r="H6" s="17" t="inlineStr">
        <is>
          <t>kaldi</t>
        </is>
      </c>
      <c r="I6" s="17" t="inlineStr">
        <is>
          <t>test</t>
        </is>
      </c>
      <c r="J6" s="17" t="inlineStr">
        <is>
          <t>test</t>
        </is>
      </c>
      <c r="K6" s="7" t="str">
        <f>IF(COUNTIF(C6:J6,"kaldi")&gt;0,"kaldi",IF(COUNTIF(C6:J6,"test")&gt;0,"test","gecti"))</f>
        <v>kaldi</v>
      </c>
      <c r="L6" s="16" t="inlineStr">
        <is>
          <t>G6: pilotu mevcut özelliklerle ücretli yap veya modülü 8 haftaya böl. G8: kapsam sınırını sözleşmeye yaz. G2: hukukçu teyidi. G7: aylık giderli nakit hesabını yap.</t>
        </is>
      </c>
    </row>
    <row r="7">
      <c r="A7" s="7" t="str">
        <f>Secenekler!A7</f>
        <v>zabuno-c</v>
      </c>
      <c r="B7" s="7" t="str">
        <f>Secenekler!C7</f>
        <v>Restoran paneli modül uyarlama hizmeti</v>
      </c>
      <c r="C7" s="17" t="inlineStr">
        <is>
          <t>test</t>
        </is>
      </c>
      <c r="D7" s="17" t="inlineStr">
        <is>
          <t>test</t>
        </is>
      </c>
      <c r="E7" s="17" t="inlineStr">
        <is>
          <t>test</t>
        </is>
      </c>
      <c r="F7" s="17" t="inlineStr">
        <is>
          <t>test</t>
        </is>
      </c>
      <c r="G7" s="17" t="inlineStr">
        <is>
          <t>test</t>
        </is>
      </c>
      <c r="H7" s="17" t="inlineStr">
        <is>
          <t>test</t>
        </is>
      </c>
      <c r="I7" s="17" t="inlineStr">
        <is>
          <t>gecti</t>
        </is>
      </c>
      <c r="J7" s="17" t="inlineStr">
        <is>
          <t>test</t>
        </is>
      </c>
      <c r="K7" s="7" t="str">
        <f>IF(COUNTIF(C7:J7,"kaldi")&gt;0,"kaldi",IF(COUNTIF(C7:J7,"test")&gt;0,"test","gecti"))</f>
        <v>test</v>
      </c>
      <c r="L7" s="16" t="inlineStr">
        <is>
          <t>G4, G5: 20 ajans ve restoran listesi. G8: tek modül için sabit kapsam ve fiyat yaz. G1: tasarım dosyalarının hakkını doğrula. G2: uyarlamayı anonim veriyle sınırla ya da veri işleme sözleşmesi ekle.</t>
        </is>
      </c>
    </row>
    <row r="8">
      <c r="A8" s="7" t="str">
        <f>Secenekler!A8</f>
        <v>parselq-a</v>
      </c>
      <c r="B8" s="7" t="str">
        <f>Secenekler!C8</f>
        <v>ParselQ Rapor: tek parsel bilgi notu (bireysel alıcı)</v>
      </c>
      <c r="C8" s="17" t="inlineStr">
        <is>
          <t>gecti</t>
        </is>
      </c>
      <c r="D8" s="17" t="inlineStr">
        <is>
          <t>test</t>
        </is>
      </c>
      <c r="E8" s="17" t="inlineStr">
        <is>
          <t>test</t>
        </is>
      </c>
      <c r="F8" s="17" t="inlineStr">
        <is>
          <t>test</t>
        </is>
      </c>
      <c r="G8" s="17" t="inlineStr">
        <is>
          <t>gecti</t>
        </is>
      </c>
      <c r="H8" s="17" t="inlineStr">
        <is>
          <t>test</t>
        </is>
      </c>
      <c r="I8" s="17" t="inlineStr">
        <is>
          <t>gecti</t>
        </is>
      </c>
      <c r="J8" s="17" t="inlineStr">
        <is>
          <t>gecti</t>
        </is>
      </c>
      <c r="K8" s="7" t="str">
        <f>IF(COUNTIF(C8:J8,"kaldi")&gt;0,"kaldi",IF(COUNTIF(C8:J8,"test")&gt;0,"test","gecti"))</f>
        <v>test</v>
      </c>
      <c r="L8" s="16" t="inlineStr">
        <is>
          <t>G2: hukukçu ve mali müşavir teyidi. G3: ödeme hesabı aç, test ödemesi yap. G4: 20 hedef alıcı kaynağını ad ve grup olarak listele. G6: kapsamı yazılı sabitle, haftalık saat ölç.</t>
        </is>
      </c>
    </row>
    <row r="9">
      <c r="A9" s="7" t="str">
        <f>Secenekler!A9</f>
        <v>parselq-b</v>
      </c>
      <c r="B9" s="7" t="str">
        <f>Secenekler!C9</f>
        <v>Parsel Kartı: emlakçıya arsa ilanı için güven kartı aboneliği</v>
      </c>
      <c r="C9" s="17" t="inlineStr">
        <is>
          <t>gecti</t>
        </is>
      </c>
      <c r="D9" s="17" t="inlineStr">
        <is>
          <t>test</t>
        </is>
      </c>
      <c r="E9" s="17" t="inlineStr">
        <is>
          <t>test</t>
        </is>
      </c>
      <c r="F9" s="17" t="inlineStr">
        <is>
          <t>test</t>
        </is>
      </c>
      <c r="G9" s="17" t="inlineStr">
        <is>
          <t>gecti</t>
        </is>
      </c>
      <c r="H9" s="17" t="inlineStr">
        <is>
          <t>test</t>
        </is>
      </c>
      <c r="I9" s="17" t="inlineStr">
        <is>
          <t>gecti</t>
        </is>
      </c>
      <c r="J9" s="17" t="inlineStr">
        <is>
          <t>gecti</t>
        </is>
      </c>
      <c r="K9" s="7" t="str">
        <f>IF(COUNTIF(C9:J9,"kaldi")&gt;0,"kaldi",IF(COUNTIF(C9:J9,"test")&gt;0,"test","gecti"))</f>
        <v>test</v>
      </c>
      <c r="L9" s="16" t="inlineStr">
        <is>
          <t>G2: Bakanlık il müdürlüğünden ya da hukukçudan yazılı görüş. G3: ödeme hesabı aç, test ödemesi yap. G4: 20 ofisi ad ve ilçe listele. G6: haftalık saati ve deneme döngüsünü ölç.</t>
        </is>
      </c>
    </row>
    <row r="10">
      <c r="A10" s="7" t="str">
        <f>Secenekler!A10</f>
        <v>parselq-c</v>
      </c>
      <c r="B10" s="7" t="str">
        <f>Secenekler!C10</f>
        <v>Uzmanlı karar dosyası: kaynak izli arsa raporu (danışmanlık ofisi)</v>
      </c>
      <c r="C10" s="17" t="inlineStr">
        <is>
          <t>test</t>
        </is>
      </c>
      <c r="D10" s="17" t="inlineStr">
        <is>
          <t>test</t>
        </is>
      </c>
      <c r="E10" s="17" t="inlineStr">
        <is>
          <t>test</t>
        </is>
      </c>
      <c r="F10" s="17" t="inlineStr">
        <is>
          <t>test</t>
        </is>
      </c>
      <c r="G10" s="17" t="inlineStr">
        <is>
          <t>test</t>
        </is>
      </c>
      <c r="H10" s="17" t="inlineStr">
        <is>
          <t>test</t>
        </is>
      </c>
      <c r="I10" s="17" t="inlineStr">
        <is>
          <t>gecti</t>
        </is>
      </c>
      <c r="J10" s="17" t="inlineStr">
        <is>
          <t>test</t>
        </is>
      </c>
      <c r="K10" s="7" t="str">
        <f>IF(COUNTIF(C10:J10,"kaldi")&gt;0,"kaldi",IF(COUNTIF(C10:J10,"test")&gt;0,"test","gecti"))</f>
        <v>test</v>
      </c>
      <c r="L10" s="16" t="inlineStr">
        <is>
          <t>G1/G2: veri sahipliği ve uzman onay sözleşmesi. G4/G5: gerçek ortak ofis ve eğitim sahibini adlandır. G6/G8: sabit kapsamlı tek dosya paketi ve onay kuralı yaz.</t>
        </is>
      </c>
    </row>
    <row r="11">
      <c r="A11" s="7" t="str">
        <f>Secenekler!A11</f>
        <v>destektesvik-a</v>
      </c>
      <c r="B11" s="7" t="str">
        <f>Secenekler!C11</f>
        <v>Uzman onaylı ön değerlendirme raporu (KOBİ)</v>
      </c>
      <c r="C11" s="17" t="inlineStr">
        <is>
          <t>test</t>
        </is>
      </c>
      <c r="D11" s="17" t="inlineStr">
        <is>
          <t>test</t>
        </is>
      </c>
      <c r="E11" s="17" t="inlineStr">
        <is>
          <t>test</t>
        </is>
      </c>
      <c r="F11" s="17" t="inlineStr">
        <is>
          <t>test</t>
        </is>
      </c>
      <c r="G11" s="17" t="inlineStr">
        <is>
          <t>test</t>
        </is>
      </c>
      <c r="H11" s="17" t="inlineStr">
        <is>
          <t>test</t>
        </is>
      </c>
      <c r="I11" s="17" t="inlineStr">
        <is>
          <t>test</t>
        </is>
      </c>
      <c r="J11" s="17" t="inlineStr">
        <is>
          <t>gecti</t>
        </is>
      </c>
      <c r="K11" s="7" t="str">
        <f>IF(COUNTIF(C11:J11,"kaldi")&gt;0,"kaldi",IF(COUNTIF(C11:J11,"test")&gt;0,"test","gecti"))</f>
        <v>test</v>
      </c>
      <c r="L11" s="16" t="inlineStr">
        <is>
          <t>G1-G4: beyanı yazdır, lisansı seç, hesap aç, 20 isim yaz. G5: 5 TTO ya da teknoparkı adlandır. G6-G7: 4 program ve havale; bazı giderleri 6. aya ertele.</t>
        </is>
      </c>
    </row>
    <row r="12">
      <c r="A12" s="7" t="str">
        <f>Secenekler!A12</f>
        <v>destektesvik-b</v>
      </c>
      <c r="B12" s="7" t="str">
        <f>Secenekler!C12</f>
        <v>Mali müşavir ve danışman portföy tarama paketi</v>
      </c>
      <c r="C12" s="17" t="inlineStr">
        <is>
          <t>test</t>
        </is>
      </c>
      <c r="D12" s="17" t="inlineStr">
        <is>
          <t>test</t>
        </is>
      </c>
      <c r="E12" s="17" t="inlineStr">
        <is>
          <t>test</t>
        </is>
      </c>
      <c r="F12" s="17" t="inlineStr">
        <is>
          <t>test</t>
        </is>
      </c>
      <c r="G12" s="17" t="inlineStr">
        <is>
          <t>gecti</t>
        </is>
      </c>
      <c r="H12" s="17" t="inlineStr">
        <is>
          <t>kaldi</t>
        </is>
      </c>
      <c r="I12" s="17" t="inlineStr">
        <is>
          <t>kaldi</t>
        </is>
      </c>
      <c r="J12" s="17" t="inlineStr">
        <is>
          <t>gecti</t>
        </is>
      </c>
      <c r="K12" s="7" t="str">
        <f>IF(COUNTIF(C12:J12,"kaldi")&gt;0,"kaldi",IF(COUNTIF(C12:J12,"test")&gt;0,"test","gecti"))</f>
        <v>kaldi</v>
      </c>
      <c r="L12" s="16" t="inlineStr">
        <is>
          <t>G6-G7: A'nın raporunu önce sat, toplu taramayı yalnız 8 program ve CSV ile aç; uzman ücretini ilk ödemelere bağla; pilotu 4 haftaya indir.</t>
        </is>
      </c>
    </row>
    <row r="13">
      <c r="A13" s="7" t="str">
        <f>Secenekler!A13</f>
        <v>destektesvik-c</v>
      </c>
      <c r="B13" s="7" t="str">
        <f>Secenekler!C13</f>
        <v>Oda ve OSB üye taraması sponsorluk paketi</v>
      </c>
      <c r="C13" s="17" t="inlineStr">
        <is>
          <t>test</t>
        </is>
      </c>
      <c r="D13" s="17" t="inlineStr">
        <is>
          <t>test</t>
        </is>
      </c>
      <c r="E13" s="17" t="inlineStr">
        <is>
          <t>test</t>
        </is>
      </c>
      <c r="F13" s="17" t="inlineStr">
        <is>
          <t>test</t>
        </is>
      </c>
      <c r="G13" s="17" t="inlineStr">
        <is>
          <t>test</t>
        </is>
      </c>
      <c r="H13" s="17" t="inlineStr">
        <is>
          <t>kaldi</t>
        </is>
      </c>
      <c r="I13" s="17" t="inlineStr">
        <is>
          <t>test</t>
        </is>
      </c>
      <c r="J13" s="17" t="inlineStr">
        <is>
          <t>test</t>
        </is>
      </c>
      <c r="K13" s="7" t="str">
        <f>IF(COUNTIF(C13:J13,"kaldi")&gt;0,"kaldi",IF(COUNTIF(C13:J13,"test")&gt;0,"test","gecti"))</f>
        <v>kaldi</v>
      </c>
      <c r="L13" s="16" t="inlineStr">
        <is>
          <t>G6: yalnız ücretsiz pilotu 6 haftada başlat, para beklentisini A'nın üye raporlarından al. G4-G5: 5 kurumu adlandır. G8: pilot kapsamını tek sayfada sabitle.</t>
        </is>
      </c>
    </row>
    <row r="14">
      <c r="A14" s="7" t="str">
        <f>Secenekler!A14</f>
        <v>asgari-iscilik-a</v>
      </c>
      <c r="B14" s="7" t="str">
        <f>Secenekler!C14</f>
        <v>Bir inşaat firmasına sabit fiyatlı uyum yazılımı projesi</v>
      </c>
      <c r="C14" s="17" t="inlineStr">
        <is>
          <t>kaldi</t>
        </is>
      </c>
      <c r="D14" s="17" t="inlineStr">
        <is>
          <t>test</t>
        </is>
      </c>
      <c r="E14" s="17" t="inlineStr">
        <is>
          <t>test</t>
        </is>
      </c>
      <c r="F14" s="17" t="inlineStr">
        <is>
          <t>gecti</t>
        </is>
      </c>
      <c r="G14" s="17" t="inlineStr">
        <is>
          <t>gecti</t>
        </is>
      </c>
      <c r="H14" s="17" t="inlineStr">
        <is>
          <t>test</t>
        </is>
      </c>
      <c r="I14" s="17" t="inlineStr">
        <is>
          <t>gecti</t>
        </is>
      </c>
      <c r="J14" s="17" t="inlineStr">
        <is>
          <t>test</t>
        </is>
      </c>
      <c r="K14" s="7" t="str">
        <f>IF(COUNTIF(C14:J14,"kaldi")&gt;0,"kaldi",IF(COUNTIF(C14:J14,"test")&gt;0,"test","gecti"))</f>
        <v>kaldi</v>
      </c>
      <c r="L14" s="16" t="inlineStr">
        <is>
          <t>Sahiplik anlaşmasını imzala (G1); kişisel veri ve sorumluluk maddelerini hukukçuya yazdır; hesap ve fatura şablonunu aç; kapsamı yazılı ekle.</t>
        </is>
      </c>
    </row>
    <row r="15">
      <c r="A15" s="7" t="str">
        <f>Secenekler!A15</f>
        <v>asgari-iscilik-b</v>
      </c>
      <c r="B15" s="7" t="str">
        <f>Secenekler!C15</f>
        <v>Mali müşavir ve yükleniciye aylık abonelik (çok kiracılı platform)</v>
      </c>
      <c r="C15" s="17" t="inlineStr">
        <is>
          <t>kaldi</t>
        </is>
      </c>
      <c r="D15" s="17" t="inlineStr">
        <is>
          <t>test</t>
        </is>
      </c>
      <c r="E15" s="17" t="inlineStr">
        <is>
          <t>test</t>
        </is>
      </c>
      <c r="F15" s="17" t="inlineStr">
        <is>
          <t>test</t>
        </is>
      </c>
      <c r="G15" s="17" t="inlineStr">
        <is>
          <t>gecti</t>
        </is>
      </c>
      <c r="H15" s="17" t="inlineStr">
        <is>
          <t>kaldi</t>
        </is>
      </c>
      <c r="I15" s="17" t="inlineStr">
        <is>
          <t>gecti</t>
        </is>
      </c>
      <c r="J15" s="17" t="inlineStr">
        <is>
          <t>gecti</t>
        </is>
      </c>
      <c r="K15" s="7" t="str">
        <f>IF(COUNTIF(C15:J15,"kaldi")&gt;0,"kaldi",IF(COUNTIF(C15:J15,"test")&gt;0,"test","gecti"))</f>
        <v>kaldi</v>
      </c>
      <c r="L15" s="16" t="inlineStr">
        <is>
          <t>Sahiplik anlaşmasını imzala; çalışan çekirdeği önce bir proje ya da hizmetle finanse et; hukuk, ödeme hesabı ve 20 isimlik liste ile G2-G4'ü kapat.</t>
        </is>
      </c>
    </row>
    <row r="16">
      <c r="A16" s="7" t="str">
        <f>Secenekler!A16</f>
        <v>asgari-iscilik-c</v>
      </c>
      <c r="B16" s="7" t="str">
        <f>Secenekler!C16</f>
        <v>Asgari işçilik hesap ve dosya kontrol raporu (uzman teyitli)</v>
      </c>
      <c r="C16" s="17" t="inlineStr">
        <is>
          <t>test</t>
        </is>
      </c>
      <c r="D16" s="17" t="inlineStr">
        <is>
          <t>test</t>
        </is>
      </c>
      <c r="E16" s="17" t="inlineStr">
        <is>
          <t>test</t>
        </is>
      </c>
      <c r="F16" s="17" t="inlineStr">
        <is>
          <t>test</t>
        </is>
      </c>
      <c r="G16" s="17" t="inlineStr">
        <is>
          <t>gecti</t>
        </is>
      </c>
      <c r="H16" s="17" t="inlineStr">
        <is>
          <t>gecti</t>
        </is>
      </c>
      <c r="I16" s="17" t="inlineStr">
        <is>
          <t>gecti</t>
        </is>
      </c>
      <c r="J16" s="17" t="inlineStr">
        <is>
          <t>gecti</t>
        </is>
      </c>
      <c r="K16" s="7" t="str">
        <f>IF(COUNTIF(C16:J16,"kaldi")&gt;0,"kaldi",IF(COUNTIF(C16:J16,"test")&gt;0,"test","gecti"))</f>
        <v>test</v>
      </c>
      <c r="L16" s="16" t="inlineStr">
        <is>
          <t>Uzman teyidi ve sorumluluk sınırlı sözleşme taslağını hazırla; ödeme ve fatura şablonunu aç; 20 yüklenici ve büro isim listesi çıkar; sahiplik anlaşmasını bağla.</t>
        </is>
      </c>
    </row>
    <row r="17">
      <c r="A17" s="7" t="str">
        <f>Secenekler!A17</f>
        <v>zincir-danismanligi-a</v>
      </c>
      <c r="B17" s="7" t="str">
        <f>Secenekler!C17</f>
        <v>90 günlük dijital satış sistemi paketi (çok şubeli zincir)</v>
      </c>
      <c r="C17" s="17" t="inlineStr">
        <is>
          <t>gecti</t>
        </is>
      </c>
      <c r="D17" s="17" t="inlineStr">
        <is>
          <t>test</t>
        </is>
      </c>
      <c r="E17" s="17" t="inlineStr">
        <is>
          <t>test</t>
        </is>
      </c>
      <c r="F17" s="17" t="inlineStr">
        <is>
          <t>gecti</t>
        </is>
      </c>
      <c r="G17" s="17" t="inlineStr">
        <is>
          <t>gecti</t>
        </is>
      </c>
      <c r="H17" s="17" t="inlineStr">
        <is>
          <t>test</t>
        </is>
      </c>
      <c r="I17" s="17" t="inlineStr">
        <is>
          <t>gecti</t>
        </is>
      </c>
      <c r="J17" s="17" t="inlineStr">
        <is>
          <t>test</t>
        </is>
      </c>
      <c r="K17" s="7" t="str">
        <f>IF(COUNTIF(C17:J17,"kaldi")&gt;0,"kaldi",IF(COUNTIF(C17:J17,"test")&gt;0,"test","gecti"))</f>
        <v>test</v>
      </c>
      <c r="L17" s="16" t="inlineStr">
        <is>
          <t>Hukukçu sözleşme, veri işleme ve SLA metnini yazar; mali müşavir fatura türünü teyit eder; kapsam tablosu sözleşme eki olur; teklif iletilip yanıt süresi ölçülür.</t>
        </is>
      </c>
    </row>
    <row r="18">
      <c r="A18" s="7" t="str">
        <f>Secenekler!A18</f>
        <v>zincir-danismanligi-b</v>
      </c>
      <c r="B18" s="7" t="str">
        <f>Secenekler!C18</f>
        <v>Kahve zinciri dijital denetim raporu (2 hafta)</v>
      </c>
      <c r="C18" s="17" t="inlineStr">
        <is>
          <t>gecti</t>
        </is>
      </c>
      <c r="D18" s="17" t="inlineStr">
        <is>
          <t>gecti</t>
        </is>
      </c>
      <c r="E18" s="17" t="inlineStr">
        <is>
          <t>test</t>
        </is>
      </c>
      <c r="F18" s="17" t="inlineStr">
        <is>
          <t>test</t>
        </is>
      </c>
      <c r="G18" s="17" t="inlineStr">
        <is>
          <t>gecti</t>
        </is>
      </c>
      <c r="H18" s="17" t="inlineStr">
        <is>
          <t>test</t>
        </is>
      </c>
      <c r="I18" s="17" t="inlineStr">
        <is>
          <t>gecti</t>
        </is>
      </c>
      <c r="J18" s="17" t="inlineStr">
        <is>
          <t>gecti</t>
        </is>
      </c>
      <c r="K18" s="7" t="str">
        <f>IF(COUNTIF(C18:J18,"kaldi")&gt;0,"kaldi",IF(COUNTIF(C18:J18,"test")&gt;0,"test","gecti"))</f>
        <v>test</v>
      </c>
      <c r="L18" s="16" t="inlineStr">
        <is>
          <t>Mali müşavir fatura türünü teyit eder; 30 zincirin iletişim listesi çıkarılır; ilk 10 mesajla satış döngüsü ölçülür.</t>
        </is>
      </c>
    </row>
    <row r="19">
      <c r="A19" s="7" t="str">
        <f>Secenekler!A19</f>
        <v>zincir-danismanligi-c</v>
      </c>
      <c r="B19" s="7" t="str">
        <f>Secenekler!C19</f>
        <v>Merkezden yönetilen şube QR menüsü (Zabuno zincir planı)</v>
      </c>
      <c r="C19" s="17" t="inlineStr">
        <is>
          <t>gecti</t>
        </is>
      </c>
      <c r="D19" s="17" t="inlineStr">
        <is>
          <t>test</t>
        </is>
      </c>
      <c r="E19" s="17" t="inlineStr">
        <is>
          <t>test</t>
        </is>
      </c>
      <c r="F19" s="17" t="inlineStr">
        <is>
          <t>gecti</t>
        </is>
      </c>
      <c r="G19" s="17" t="inlineStr">
        <is>
          <t>gecti</t>
        </is>
      </c>
      <c r="H19" s="17" t="inlineStr">
        <is>
          <t>test</t>
        </is>
      </c>
      <c r="I19" s="17" t="inlineStr">
        <is>
          <t>gecti</t>
        </is>
      </c>
      <c r="J19" s="17" t="inlineStr">
        <is>
          <t>test</t>
        </is>
      </c>
      <c r="K19" s="7" t="str">
        <f>IF(COUNTIF(C19:J19,"kaldi")&gt;0,"kaldi",IF(COUNTIF(C19:J19,"test")&gt;0,"test","gecti"))</f>
        <v>test</v>
      </c>
      <c r="L19" s="16" t="inlineStr">
        <is>
          <t>Merkezden yayın kapsamı ve eforu yazılır; pilotta ölçülür; hukukçu ve mali müşavir teyidi alınır; kapsam sınırı sözleşmeye girer.</t>
        </is>
      </c>
    </row>
    <row r="20">
      <c r="A20" s="7" t="str">
        <f>Secenekler!A20</f>
        <v>kar-pusulasi-a</v>
      </c>
      <c r="B20" s="7" t="str">
        <f>Secenekler!C20</f>
        <v>Pro yıllık ve Kurucu Paketi (satıcıya yazılım)</v>
      </c>
      <c r="C20" s="17" t="inlineStr">
        <is>
          <t>test</t>
        </is>
      </c>
      <c r="D20" s="17" t="inlineStr">
        <is>
          <t>test</t>
        </is>
      </c>
      <c r="E20" s="17" t="inlineStr">
        <is>
          <t>test</t>
        </is>
      </c>
      <c r="F20" s="17" t="inlineStr">
        <is>
          <t>test</t>
        </is>
      </c>
      <c r="G20" s="17" t="inlineStr">
        <is>
          <t>gecti</t>
        </is>
      </c>
      <c r="H20" s="17" t="inlineStr">
        <is>
          <t>test</t>
        </is>
      </c>
      <c r="I20" s="17" t="inlineStr">
        <is>
          <t>gecti</t>
        </is>
      </c>
      <c r="J20" s="17" t="inlineStr">
        <is>
          <t>gecti</t>
        </is>
      </c>
      <c r="K20" s="7" t="str">
        <f>IF(COUNTIF(C20:J20,"kaldi")&gt;0,"kaldi",IF(COUNTIF(C20:J20,"test")&gt;0,"test","gecti"))</f>
        <v>test</v>
      </c>
      <c r="L20" s="16" t="inlineStr">
        <is>
          <t>Mali müşavirden fatura ve KVKK teyidi al, Shopier hesabını aç, depoyu tek sürüme indir, 20 satıcı adı listele, kalan işi saat saat yaz.</t>
        </is>
      </c>
    </row>
    <row r="21">
      <c r="A21" s="7" t="str">
        <f>Secenekler!A21</f>
        <v>kar-pusulasi-b</v>
      </c>
      <c r="B21" s="7" t="str">
        <f>Secenekler!C21</f>
        <v>Danışman ve ajans paneli (aylık abonelik)</v>
      </c>
      <c r="C21" s="17" t="inlineStr">
        <is>
          <t>test</t>
        </is>
      </c>
      <c r="D21" s="17" t="inlineStr">
        <is>
          <t>test</t>
        </is>
      </c>
      <c r="E21" s="17" t="inlineStr">
        <is>
          <t>test</t>
        </is>
      </c>
      <c r="F21" s="17" t="inlineStr">
        <is>
          <t>test</t>
        </is>
      </c>
      <c r="G21" s="17" t="inlineStr">
        <is>
          <t>gecti</t>
        </is>
      </c>
      <c r="H21" s="17" t="inlineStr">
        <is>
          <t>kaldi</t>
        </is>
      </c>
      <c r="I21" s="17" t="inlineStr">
        <is>
          <t>gecti</t>
        </is>
      </c>
      <c r="J21" s="17" t="inlineStr">
        <is>
          <t>gecti</t>
        </is>
      </c>
      <c r="K21" s="7" t="str">
        <f>IF(COUNTIF(C21:J21,"kaldi")&gt;0,"kaldi",IF(COUNTIF(C21:J21,"test")&gt;0,"test","gecti"))</f>
        <v>kaldi</v>
      </c>
      <c r="L21" s="16" t="inlineStr">
        <is>
          <t>Paneli yazmadan elle hazırlanmış raporla 2 danışmanı ücretli pilota al; kalan efor 8 haftaya inene kadar panel kodlanmaz. KVKK ve fatura teyidi alınır.</t>
        </is>
      </c>
    </row>
    <row r="22">
      <c r="A22" s="7" t="str">
        <f>Secenekler!A22</f>
        <v>kar-pusulasi-c</v>
      </c>
      <c r="B22" s="7" t="str">
        <f>Secenekler!C22</f>
        <v>SKU katkı raporu (sabit fiyatlı hizmet)</v>
      </c>
      <c r="C22" s="17" t="inlineStr">
        <is>
          <t>test</t>
        </is>
      </c>
      <c r="D22" s="17" t="inlineStr">
        <is>
          <t>test</t>
        </is>
      </c>
      <c r="E22" s="17" t="inlineStr">
        <is>
          <t>test</t>
        </is>
      </c>
      <c r="F22" s="17" t="inlineStr">
        <is>
          <t>test</t>
        </is>
      </c>
      <c r="G22" s="17" t="inlineStr">
        <is>
          <t>gecti</t>
        </is>
      </c>
      <c r="H22" s="17" t="inlineStr">
        <is>
          <t>test</t>
        </is>
      </c>
      <c r="I22" s="17" t="inlineStr">
        <is>
          <t>gecti</t>
        </is>
      </c>
      <c r="J22" s="17" t="inlineStr">
        <is>
          <t>test</t>
        </is>
      </c>
      <c r="K22" s="7" t="str">
        <f>IF(COUNTIF(C22:J22,"kaldi")&gt;0,"kaldi",IF(COUNTIF(C22:J22,"test")&gt;0,"test","gecti"))</f>
        <v>test</v>
      </c>
      <c r="L22" s="16" t="inlineStr">
        <is>
          <t>Depoyu tek MIT sürüme indir, üçüncü taraf bileşen kalıntılarını temizle; motor düzeltmesini efora yaz; şablon kuralını 5 izinli dosyada dene; mali müşavir teyidi, 20 isim listesi, test ödemesi.</t>
        </is>
      </c>
    </row>
    <row r="23">
      <c r="A23" s="7" t="str">
        <f>Secenekler!A23</f>
        <v>titanlar-a</v>
      </c>
      <c r="B23" s="7" t="str">
        <f>Secenekler!C23</f>
        <v>Titan Programı: 10 haftalık canlı kohort</v>
      </c>
      <c r="C23" s="17" t="inlineStr">
        <is>
          <t>test</t>
        </is>
      </c>
      <c r="D23" s="17" t="inlineStr">
        <is>
          <t>test</t>
        </is>
      </c>
      <c r="E23" s="17" t="inlineStr">
        <is>
          <t>test</t>
        </is>
      </c>
      <c r="F23" s="17" t="inlineStr">
        <is>
          <t>test</t>
        </is>
      </c>
      <c r="G23" s="17" t="inlineStr">
        <is>
          <t>gecti</t>
        </is>
      </c>
      <c r="H23" s="17" t="inlineStr">
        <is>
          <t>gecti</t>
        </is>
      </c>
      <c r="I23" s="17" t="inlineStr">
        <is>
          <t>gecti</t>
        </is>
      </c>
      <c r="J23" s="17" t="inlineStr">
        <is>
          <t>gecti</t>
        </is>
      </c>
      <c r="K23" s="7" t="str">
        <f>IF(COUNTIF(C23:J23,"kaldi")&gt;0,"kaldi",IF(COUNTIF(C23:J23,"test")&gt;0,"test","gecti"))</f>
        <v>test</v>
      </c>
      <c r="L23" s="16" t="inlineStr">
        <is>
          <t>G1: marka ve alan adı sorgusu. G2-G3: şahıs işletmesi ya da şirket, e-Arşiv, iyzico ya da havale, avukat kontrollü metinler. G4: ilk webinardan önce 20 isimlik liste.</t>
        </is>
      </c>
    </row>
    <row r="24">
      <c r="A24" s="7" t="str">
        <f>Secenekler!A24</f>
        <v>titanlar-b</v>
      </c>
      <c r="B24" s="7" t="str">
        <f>Secenekler!C24</f>
        <v>Kâr teşhisi: Giriş ve Strateji danışmanlığı</v>
      </c>
      <c r="C24" s="17" t="inlineStr">
        <is>
          <t>test</t>
        </is>
      </c>
      <c r="D24" s="17" t="inlineStr">
        <is>
          <t>test</t>
        </is>
      </c>
      <c r="E24" s="17" t="inlineStr">
        <is>
          <t>test</t>
        </is>
      </c>
      <c r="F24" s="17" t="inlineStr">
        <is>
          <t>test</t>
        </is>
      </c>
      <c r="G24" s="17" t="inlineStr">
        <is>
          <t>gecti</t>
        </is>
      </c>
      <c r="H24" s="17" t="inlineStr">
        <is>
          <t>gecti</t>
        </is>
      </c>
      <c r="I24" s="17" t="inlineStr">
        <is>
          <t>gecti</t>
        </is>
      </c>
      <c r="J24" s="17" t="inlineStr">
        <is>
          <t>gecti</t>
        </is>
      </c>
      <c r="K24" s="7" t="str">
        <f>IF(COUNTIF(C24:J24,"kaldi")&gt;0,"kaldi",IF(COUNTIF(C24:J24,"test")&gt;0,"test","gecti"))</f>
        <v>test</v>
      </c>
      <c r="L24" s="16" t="inlineStr">
        <is>
          <t>G1-G3: marka sorgusu, şahıs işletmesi ya da şirket, e-Arşiv, avukat kontrollü danışmanlık sözleşmesi ve sorumluluk sınırı. G4: 20 satıcı isim listesi.</t>
        </is>
      </c>
    </row>
    <row r="25">
      <c r="A25" s="7" t="str">
        <f>Secenekler!A25</f>
        <v>titanlar-c</v>
      </c>
      <c r="B25" s="7" t="str">
        <f>Secenekler!C25</f>
        <v>Kurumsal atölye: oda, belediye ve üretici KOBİ</v>
      </c>
      <c r="C25" s="17" t="inlineStr">
        <is>
          <t>test</t>
        </is>
      </c>
      <c r="D25" s="17" t="inlineStr">
        <is>
          <t>test</t>
        </is>
      </c>
      <c r="E25" s="17" t="inlineStr">
        <is>
          <t>test</t>
        </is>
      </c>
      <c r="F25" s="17" t="inlineStr">
        <is>
          <t>test</t>
        </is>
      </c>
      <c r="G25" s="17" t="inlineStr">
        <is>
          <t>gecti</t>
        </is>
      </c>
      <c r="H25" s="17" t="inlineStr">
        <is>
          <t>kaldi</t>
        </is>
      </c>
      <c r="I25" s="17" t="inlineStr">
        <is>
          <t>gecti</t>
        </is>
      </c>
      <c r="J25" s="17" t="inlineStr">
        <is>
          <t>test</t>
        </is>
      </c>
      <c r="K25" s="7" t="str">
        <f>IF(COUNTIF(C25:J25,"kaldi")&gt;0,"kaldi",IF(COUNTIF(C25:J25,"test")&gt;0,"test","gecti"))</f>
        <v>kaldi</v>
      </c>
      <c r="L25" s="16" t="inlineStr">
        <is>
          <t>G6: 6 ayda tahsilat için yazılı niyetli bir oda ya da üretici ilk atölyeyi ücretli pilotla başlatmalı. G1-G3: marka, sözleşme, e-Fatura. G4: kurum listesi. G8: sabit paket tanımı.</t>
        </is>
      </c>
    </row>
    <row r="26">
      <c r="A26" s="7" t="str">
        <f>Secenekler!A26</f>
        <v>kurumsal-site-a</v>
      </c>
      <c r="B26" s="7" t="str">
        <f>Secenekler!C26</f>
        <v>İhracat paketi: sabit kapsamlı 3 dilli üretici sitesi</v>
      </c>
      <c r="C26" s="17" t="inlineStr">
        <is>
          <t>test</t>
        </is>
      </c>
      <c r="D26" s="17" t="inlineStr">
        <is>
          <t>test</t>
        </is>
      </c>
      <c r="E26" s="17" t="inlineStr">
        <is>
          <t>gecti</t>
        </is>
      </c>
      <c r="F26" s="17" t="inlineStr">
        <is>
          <t>test</t>
        </is>
      </c>
      <c r="G26" s="17" t="inlineStr">
        <is>
          <t>gecti</t>
        </is>
      </c>
      <c r="H26" s="17" t="inlineStr">
        <is>
          <t>test</t>
        </is>
      </c>
      <c r="I26" s="17" t="inlineStr">
        <is>
          <t>gecti</t>
        </is>
      </c>
      <c r="J26" s="17" t="inlineStr">
        <is>
          <t>gecti</t>
        </is>
      </c>
      <c r="K26" s="7" t="str">
        <f>IF(COUNTIF(C26:J26,"kaldi")&gt;0,"kaldi",IF(COUNTIF(C26:J26,"test")&gt;0,"test","gecti"))</f>
        <v>test</v>
      </c>
      <c r="L26" s="16" t="inlineStr">
        <is>
          <t>G1, G2: hukukçu ve mali müşavirle sözleşme, KVKK ve lisans kontrolü. G6: ilk 10 teklifte döngüyü ölç; sözleşme ve teklif şablonunu 2 hafta içinde bitir. G4: 20 OSB ihracatçısını ismen listele.</t>
        </is>
      </c>
    </row>
    <row r="27">
      <c r="A27" s="7" t="str">
        <f>Secenekler!A27</f>
        <v>kurumsal-site-b</v>
      </c>
      <c r="B27" s="7" t="str">
        <f>Secenekler!C27</f>
        <v>Vitrin paketi: 2 dilli giriş sitesi (45.000 ₺)</v>
      </c>
      <c r="C27" s="17" t="inlineStr">
        <is>
          <t>test</t>
        </is>
      </c>
      <c r="D27" s="17" t="inlineStr">
        <is>
          <t>test</t>
        </is>
      </c>
      <c r="E27" s="17" t="inlineStr">
        <is>
          <t>gecti</t>
        </is>
      </c>
      <c r="F27" s="17" t="inlineStr">
        <is>
          <t>test</t>
        </is>
      </c>
      <c r="G27" s="17" t="inlineStr">
        <is>
          <t>gecti</t>
        </is>
      </c>
      <c r="H27" s="17" t="inlineStr">
        <is>
          <t>test</t>
        </is>
      </c>
      <c r="I27" s="17" t="inlineStr">
        <is>
          <t>gecti</t>
        </is>
      </c>
      <c r="J27" s="17" t="inlineStr">
        <is>
          <t>gecti</t>
        </is>
      </c>
      <c r="K27" s="7" t="str">
        <f>IF(COUNTIF(C27:J27,"kaldi")&gt;0,"kaldi",IF(COUNTIF(C27:J27,"test")&gt;0,"test","gecti"))</f>
        <v>test</v>
      </c>
      <c r="L27" s="16" t="inlineStr">
        <is>
          <t>G6: ilk 10 teklifte döngü süresini ölç. G1, G2: hukukçu ve müşavir teyidi. G4: seminer ve denetim formundan 20 isimlik liste çıkar; ilk 10 teklifte döngü süresini ölç.</t>
        </is>
      </c>
    </row>
    <row r="28">
      <c r="A28" s="7" t="str">
        <f>Secenekler!A28</f>
        <v>kurumsal-site-c</v>
      </c>
      <c r="B28" s="7" t="str">
        <f>Secenekler!C28</f>
        <v>Markasız Astro sanayi teması (kod satışı)</v>
      </c>
      <c r="C28" s="17" t="inlineStr">
        <is>
          <t>test</t>
        </is>
      </c>
      <c r="D28" s="17" t="inlineStr">
        <is>
          <t>test</t>
        </is>
      </c>
      <c r="E28" s="17" t="inlineStr">
        <is>
          <t>test</t>
        </is>
      </c>
      <c r="F28" s="17" t="inlineStr">
        <is>
          <t>test</t>
        </is>
      </c>
      <c r="G28" s="17" t="inlineStr">
        <is>
          <t>test</t>
        </is>
      </c>
      <c r="H28" s="17" t="inlineStr">
        <is>
          <t>test</t>
        </is>
      </c>
      <c r="I28" s="17" t="inlineStr">
        <is>
          <t>gecti</t>
        </is>
      </c>
      <c r="J28" s="17" t="inlineStr">
        <is>
          <t>gecti</t>
        </is>
      </c>
      <c r="K28" s="7" t="str">
        <f>IF(COUNTIF(C28:J28,"kaldi")&gt;0,"kaldi",IF(COUNTIF(C28:J28,"test")&gt;0,"test","gecti"))</f>
        <v>test</v>
      </c>
      <c r="L28" s="16" t="inlineStr">
        <is>
          <t>G1: kod hakları ve bileşen lisanslarını yazılı teyit et. G3: hesabı aç, test ödemesi yap. G4, G5: 20 ajans ve geliştirici adı çıkar, dizin ve topluluk kategorisi seç.</t>
        </is>
      </c>
    </row>
    <row r="29">
      <c r="A29" s="7" t="str">
        <f>Secenekler!A29</f>
        <v>uretici-kobi-paketi-a</v>
      </c>
      <c r="B29" s="7" t="str">
        <f>Secenekler!C29</f>
        <v>Başlangıç paketi: fizibilite, vitrin site, açılış planı</v>
      </c>
      <c r="C29" s="17" t="inlineStr">
        <is>
          <t>test</t>
        </is>
      </c>
      <c r="D29" s="17" t="inlineStr">
        <is>
          <t>test</t>
        </is>
      </c>
      <c r="E29" s="17" t="inlineStr">
        <is>
          <t>test</t>
        </is>
      </c>
      <c r="F29" s="17" t="inlineStr">
        <is>
          <t>gecti</t>
        </is>
      </c>
      <c r="G29" s="17" t="inlineStr">
        <is>
          <t>gecti</t>
        </is>
      </c>
      <c r="H29" s="17" t="inlineStr">
        <is>
          <t>test</t>
        </is>
      </c>
      <c r="I29" s="17" t="inlineStr">
        <is>
          <t>gecti</t>
        </is>
      </c>
      <c r="J29" s="17" t="inlineStr">
        <is>
          <t>gecti</t>
        </is>
      </c>
      <c r="K29" s="7" t="str">
        <f>IF(COUNTIF(C29:J29,"kaldi")&gt;0,"kaldi",IF(COUNTIF(C29:J29,"test")&gt;0,"test","gecti"))</f>
        <v>test</v>
      </c>
      <c r="L29" s="16" t="inlineStr">
        <is>
          <t>G1 izin ve bileşen taraması; G2-G3 avukat ve mali müşavir teyidi, ilk havale; G6 ilk pilot teslimde süreyi ölç.</t>
        </is>
      </c>
    </row>
    <row r="30">
      <c r="A30" s="7" t="str">
        <f>Secenekler!A30</f>
        <v>uretici-kobi-paketi-b</v>
      </c>
      <c r="B30" s="7" t="str">
        <f>Secenekler!C30</f>
        <v>Fizibilite paketi: rakip analizi, kârlılık modeli, simülatör</v>
      </c>
      <c r="C30" s="17" t="inlineStr">
        <is>
          <t>test</t>
        </is>
      </c>
      <c r="D30" s="17" t="inlineStr">
        <is>
          <t>test</t>
        </is>
      </c>
      <c r="E30" s="17" t="inlineStr">
        <is>
          <t>test</t>
        </is>
      </c>
      <c r="F30" s="17" t="inlineStr">
        <is>
          <t>gecti</t>
        </is>
      </c>
      <c r="G30" s="17" t="inlineStr">
        <is>
          <t>gecti</t>
        </is>
      </c>
      <c r="H30" s="17" t="inlineStr">
        <is>
          <t>test</t>
        </is>
      </c>
      <c r="I30" s="17" t="inlineStr">
        <is>
          <t>gecti</t>
        </is>
      </c>
      <c r="J30" s="17" t="inlineStr">
        <is>
          <t>gecti</t>
        </is>
      </c>
      <c r="K30" s="7" t="str">
        <f>IF(COUNTIF(C30:J30,"kaldi")&gt;0,"kaldi",IF(COUNTIF(C30:J30,"test")&gt;0,"test","gecti"))</f>
        <v>test</v>
      </c>
      <c r="L30" s="16" t="inlineStr">
        <is>
          <t>G1 anonim referans izni ve kamu veri kaynakları; G2-G3 sözleşme ve fatura teyidi, ilk havale; G6 ilk 5 görüşmede teklif-avans süresini ölç.</t>
        </is>
      </c>
    </row>
    <row r="31">
      <c r="A31" s="7" t="str">
        <f>Secenekler!A31</f>
        <v>uretici-kobi-paketi-c</v>
      </c>
      <c r="B31" s="7" t="str">
        <f>Secenekler!C31</f>
        <v>Katalog ve teklif formu sitesi (kumaş üreticisi)</v>
      </c>
      <c r="C31" s="17" t="inlineStr">
        <is>
          <t>test</t>
        </is>
      </c>
      <c r="D31" s="17" t="inlineStr">
        <is>
          <t>test</t>
        </is>
      </c>
      <c r="E31" s="17" t="inlineStr">
        <is>
          <t>test</t>
        </is>
      </c>
      <c r="F31" s="17" t="inlineStr">
        <is>
          <t>gecti</t>
        </is>
      </c>
      <c r="G31" s="17" t="inlineStr">
        <is>
          <t>gecti</t>
        </is>
      </c>
      <c r="H31" s="17" t="inlineStr">
        <is>
          <t>test</t>
        </is>
      </c>
      <c r="I31" s="17" t="inlineStr">
        <is>
          <t>gecti</t>
        </is>
      </c>
      <c r="J31" s="17" t="inlineStr">
        <is>
          <t>test</t>
        </is>
      </c>
      <c r="K31" s="7" t="str">
        <f>IF(COUNTIF(C31:J31,"kaldi")&gt;0,"kaldi",IF(COUNTIF(C31:J31,"test")&gt;0,"test","gecti"))</f>
        <v>test</v>
      </c>
      <c r="L31" s="16" t="inlineStr">
        <is>
          <t>G1-G3 teyit ve ilk havale; G6 izinli 10 ürün verisini ilk görüşmede iste; G8 form alanlarını 8 alana ve 1 revizyona sabitle.</t>
        </is>
      </c>
    </row>
    <row r="32">
      <c r="A32" s="7" t="str">
        <f>Secenekler!A32</f>
        <v>wp-nis-eklentiler-a</v>
      </c>
      <c r="B32" s="7" t="str">
        <f>Secenekler!C32</f>
        <v>KVKK Lite Pro: ajans lisansı</v>
      </c>
      <c r="C32" s="17" t="inlineStr">
        <is>
          <t>test</t>
        </is>
      </c>
      <c r="D32" s="17" t="inlineStr">
        <is>
          <t>test</t>
        </is>
      </c>
      <c r="E32" s="17" t="inlineStr">
        <is>
          <t>test</t>
        </is>
      </c>
      <c r="F32" s="17" t="inlineStr">
        <is>
          <t>test</t>
        </is>
      </c>
      <c r="G32" s="17" t="inlineStr">
        <is>
          <t>gecti</t>
        </is>
      </c>
      <c r="H32" s="17" t="inlineStr">
        <is>
          <t>test</t>
        </is>
      </c>
      <c r="I32" s="17" t="inlineStr">
        <is>
          <t>gecti</t>
        </is>
      </c>
      <c r="J32" s="17" t="inlineStr">
        <is>
          <t>gecti</t>
        </is>
      </c>
      <c r="K32" s="7" t="str">
        <f>IF(COUNTIF(C32:J32,"kaldi")&gt;0,"kaldi",IF(COUNTIF(C32:J32,"test")&gt;0,"test","gecti"))</f>
        <v>test</v>
      </c>
      <c r="L32" s="16" t="inlineStr">
        <is>
          <t>Hukukçudan şablon hakkı ve sorumluluk metnini al; Freemius hesabını aç ve 1 test ödemesi yap; 20 ajans listesi yaz; kapsamı 8 haftalık KVKK Lite çekirdeğine kilitle.</t>
        </is>
      </c>
    </row>
    <row r="33">
      <c r="A33" s="7" t="str">
        <f>Secenekler!A33</f>
        <v>wp-nis-eklentiler-b</v>
      </c>
      <c r="B33" s="7" t="str">
        <f>Secenekler!C33</f>
        <v>Taksit Tablosu ve Kapıda Ödeme Pro: tek mağaza</v>
      </c>
      <c r="C33" s="17" t="inlineStr">
        <is>
          <t>test</t>
        </is>
      </c>
      <c r="D33" s="17" t="inlineStr">
        <is>
          <t>test</t>
        </is>
      </c>
      <c r="E33" s="17" t="inlineStr">
        <is>
          <t>test</t>
        </is>
      </c>
      <c r="F33" s="17" t="inlineStr">
        <is>
          <t>test</t>
        </is>
      </c>
      <c r="G33" s="17" t="inlineStr">
        <is>
          <t>gecti</t>
        </is>
      </c>
      <c r="H33" s="17" t="inlineStr">
        <is>
          <t>test</t>
        </is>
      </c>
      <c r="I33" s="17" t="inlineStr">
        <is>
          <t>gecti</t>
        </is>
      </c>
      <c r="J33" s="17" t="inlineStr">
        <is>
          <t>gecti</t>
        </is>
      </c>
      <c r="K33" s="7" t="str">
        <f>IF(COUNTIF(C33:J33,"kaldi")&gt;0,"kaldi",IF(COUNTIF(C33:J33,"test")&gt;0,"test","gecti"))</f>
        <v>test</v>
      </c>
      <c r="L33" s="16" t="inlineStr">
        <is>
          <t>Mali müşavirden ek ücret ve KDV okumasını al; Freemius hesabı aç; PSP API koşullarını oku; 20 mağaza listesi yaz; kapsamı iyzico ve PayTR ile sınırla.</t>
        </is>
      </c>
    </row>
    <row r="34">
      <c r="A34" s="7" t="str">
        <f>Secenekler!A34</f>
        <v>wp-nis-eklentiler-c</v>
      </c>
      <c r="B34" s="7" t="str">
        <f>Secenekler!C34</f>
        <v>Türkiye uyum kurulumu: sabit fiyatlı hizmet</v>
      </c>
      <c r="C34" s="17" t="inlineStr">
        <is>
          <t>test</t>
        </is>
      </c>
      <c r="D34" s="17" t="inlineStr">
        <is>
          <t>test</t>
        </is>
      </c>
      <c r="E34" s="17" t="inlineStr">
        <is>
          <t>test</t>
        </is>
      </c>
      <c r="F34" s="17" t="inlineStr">
        <is>
          <t>test</t>
        </is>
      </c>
      <c r="G34" s="17" t="inlineStr">
        <is>
          <t>gecti</t>
        </is>
      </c>
      <c r="H34" s="17" t="inlineStr">
        <is>
          <t>gecti</t>
        </is>
      </c>
      <c r="I34" s="17" t="inlineStr">
        <is>
          <t>gecti</t>
        </is>
      </c>
      <c r="J34" s="17" t="inlineStr">
        <is>
          <t>gecti</t>
        </is>
      </c>
      <c r="K34" s="7" t="str">
        <f>IF(COUNTIF(C34:J34,"kaldi")&gt;0,"kaldi",IF(COUNTIF(C34:J34,"test")&gt;0,"test","gecti"))</f>
        <v>test</v>
      </c>
      <c r="L34" s="16" t="inlineStr">
        <is>
          <t>Hukukçudan şablon metin hakkı ve sözleşme sorumluluk maddesini al; havale ve fatura düzenini kur; 20 kişilik isim listesi yaz; lisansı kontrol edilmiş ücretsiz araç listesini sabitle.</t>
        </is>
      </c>
    </row>
    <row r="35">
      <c r="A35" s="7" t="str">
        <f>Secenekler!A35</f>
        <v>qral-a</v>
      </c>
      <c r="B35" s="7" t="str">
        <f>Secenekler!C35</f>
        <v>Pro lisansı: bilgi çalışanı ve yapay zekâ kullanıcısı</v>
      </c>
      <c r="C35" s="17" t="inlineStr">
        <is>
          <t>test</t>
        </is>
      </c>
      <c r="D35" s="17" t="inlineStr">
        <is>
          <t>test</t>
        </is>
      </c>
      <c r="E35" s="17" t="inlineStr">
        <is>
          <t>test</t>
        </is>
      </c>
      <c r="F35" s="17" t="inlineStr">
        <is>
          <t>test</t>
        </is>
      </c>
      <c r="G35" s="17" t="inlineStr">
        <is>
          <t>gecti</t>
        </is>
      </c>
      <c r="H35" s="17" t="inlineStr">
        <is>
          <t>test</t>
        </is>
      </c>
      <c r="I35" s="17" t="inlineStr">
        <is>
          <t>gecti</t>
        </is>
      </c>
      <c r="J35" s="17" t="inlineStr">
        <is>
          <t>gecti</t>
        </is>
      </c>
      <c r="K35" s="7" t="str">
        <f>IF(COUNTIF(C35:J35,"kaldi")&gt;0,"kaldi",IF(COUNTIF(C35:J35,"test")&gt;0,"test","gecti"))</f>
        <v>test</v>
      </c>
      <c r="L35" s="16" t="inlineStr">
        <is>
          <t>Hesap açılışı ve test ödemesi (G3), hukuk ve vergi teyidi (G2), lisans taraması (G1), ilk 20 hedef alıcının listesi (G4), ilk satış ölçümü (G6) ile geçer.</t>
        </is>
      </c>
    </row>
    <row r="36">
      <c r="A36" s="7" t="str">
        <f>Secenekler!A36</f>
        <v>qral-b</v>
      </c>
      <c r="B36" s="7" t="str">
        <f>Secenekler!C36</f>
        <v>Sınıf Paketi: öğretmen ve okul için QR sayfası</v>
      </c>
      <c r="C36" s="17" t="inlineStr">
        <is>
          <t>test</t>
        </is>
      </c>
      <c r="D36" s="17" t="inlineStr">
        <is>
          <t>test</t>
        </is>
      </c>
      <c r="E36" s="17" t="inlineStr">
        <is>
          <t>test</t>
        </is>
      </c>
      <c r="F36" s="17" t="inlineStr">
        <is>
          <t>test</t>
        </is>
      </c>
      <c r="G36" s="17" t="inlineStr">
        <is>
          <t>gecti</t>
        </is>
      </c>
      <c r="H36" s="17" t="inlineStr">
        <is>
          <t>test</t>
        </is>
      </c>
      <c r="I36" s="17" t="inlineStr">
        <is>
          <t>gecti</t>
        </is>
      </c>
      <c r="J36" s="17" t="inlineStr">
        <is>
          <t>gecti</t>
        </is>
      </c>
      <c r="K36" s="7" t="str">
        <f>IF(COUNTIF(C36:J36,"kaldi")&gt;0,"kaldi",IF(COUNTIF(C36:J36,"test")&gt;0,"test","gecti"))</f>
        <v>test</v>
      </c>
      <c r="L36" s="16" t="inlineStr">
        <is>
          <t>Hesap ve test ödemesi (G3), hukuk ve vergi teyidi (G2), lisans taraması (G1), 20 öğretmen listesi (G4), efor ölçümü (G6) ile geçer.</t>
        </is>
      </c>
    </row>
    <row r="37">
      <c r="A37" s="7" t="str">
        <f>Secenekler!A37</f>
        <v>qral-c</v>
      </c>
      <c r="B37" s="7" t="str">
        <f>Secenekler!C37</f>
        <v>Araştırma ekibi için kaynak dışa aktarma şablon paketi</v>
      </c>
      <c r="C37" s="17" t="inlineStr">
        <is>
          <t>test</t>
        </is>
      </c>
      <c r="D37" s="17" t="inlineStr">
        <is>
          <t>test</t>
        </is>
      </c>
      <c r="E37" s="17" t="inlineStr">
        <is>
          <t>test</t>
        </is>
      </c>
      <c r="F37" s="17" t="inlineStr">
        <is>
          <t>test</t>
        </is>
      </c>
      <c r="G37" s="17" t="inlineStr">
        <is>
          <t>test</t>
        </is>
      </c>
      <c r="H37" s="17" t="inlineStr">
        <is>
          <t>test</t>
        </is>
      </c>
      <c r="I37" s="17" t="inlineStr">
        <is>
          <t>gecti</t>
        </is>
      </c>
      <c r="J37" s="17" t="inlineStr">
        <is>
          <t>test</t>
        </is>
      </c>
      <c r="K37" s="7" t="str">
        <f>IF(COUNTIF(C37:J37,"kaldi")&gt;0,"kaldi",IF(COUNTIF(C37:J37,"test")&gt;0,"test","gecti"))</f>
        <v>test</v>
      </c>
      <c r="L37" s="16" t="inlineStr">
        <is>
          <t>Hesap ve fatura (G3), vergi teyidi (G2), lisans taraması (G1), hedef listesi ve adlı kanal (G4, G5), yazılı kapsam sınırı (G8), ilk görüşmelerle satış döngüsü ölçümü (G6) ile geçer.</t>
        </is>
      </c>
    </row>
    <row r="38">
      <c r="A38" s="7" t="str">
        <f>Secenekler!A38</f>
        <v>frontend-atlasi-a</v>
      </c>
      <c r="B38" s="7" t="str">
        <f>Secenekler!C38</f>
        <v>Eğitmen lisansı ve AI ile Eğitim Sitesi Kiti</v>
      </c>
      <c r="C38" s="17" t="inlineStr">
        <is>
          <t>test</t>
        </is>
      </c>
      <c r="D38" s="17" t="inlineStr">
        <is>
          <t>test</t>
        </is>
      </c>
      <c r="E38" s="17" t="inlineStr">
        <is>
          <t>test</t>
        </is>
      </c>
      <c r="F38" s="17" t="inlineStr">
        <is>
          <t>test</t>
        </is>
      </c>
      <c r="G38" s="17" t="inlineStr">
        <is>
          <t>gecti</t>
        </is>
      </c>
      <c r="H38" s="17" t="inlineStr">
        <is>
          <t>gecti</t>
        </is>
      </c>
      <c r="I38" s="17" t="inlineStr">
        <is>
          <t>gecti</t>
        </is>
      </c>
      <c r="J38" s="17" t="inlineStr">
        <is>
          <t>gecti</t>
        </is>
      </c>
      <c r="K38" s="7" t="str">
        <f>IF(COUNTIF(C38:J38,"kaldi")&gt;0,"kaldi",IF(COUNTIF(C38:J38,"test")&gt;0,"test","gecti"))</f>
        <v>test</v>
      </c>
      <c r="L38" s="16" t="inlineStr">
        <is>
          <t>G1: kullanım hakkı metnini ve depo kararını kurucuyla netleştir. G2: mali müşavir teyidi. G3: Shopier hesabı aç, 1 test ödemesi yap. G4: 30 eğitmenin adını listele.</t>
        </is>
      </c>
    </row>
    <row r="39">
      <c r="A39" s="7" t="str">
        <f>Secenekler!A39</f>
        <v>frontend-atlasi-b</v>
      </c>
      <c r="B39" s="7" t="str">
        <f>Secenekler!C39</f>
        <v>Laboratuvar alıştırma paketi (öğrenenlere, arama ile)</v>
      </c>
      <c r="C39" s="17" t="inlineStr">
        <is>
          <t>test</t>
        </is>
      </c>
      <c r="D39" s="17" t="inlineStr">
        <is>
          <t>test</t>
        </is>
      </c>
      <c r="E39" s="17" t="inlineStr">
        <is>
          <t>test</t>
        </is>
      </c>
      <c r="F39" s="17" t="inlineStr">
        <is>
          <t>test</t>
        </is>
      </c>
      <c r="G39" s="17" t="inlineStr">
        <is>
          <t>gecti</t>
        </is>
      </c>
      <c r="H39" s="17" t="inlineStr">
        <is>
          <t>test</t>
        </is>
      </c>
      <c r="I39" s="17" t="inlineStr">
        <is>
          <t>gecti</t>
        </is>
      </c>
      <c r="J39" s="17" t="inlineStr">
        <is>
          <t>gecti</t>
        </is>
      </c>
      <c r="K39" s="7" t="str">
        <f>IF(COUNTIF(C39:J39,"kaldi")&gt;0,"kaldi",IF(COUNTIF(C39:J39,"test")&gt;0,"test","gecti"))</f>
        <v>test</v>
      </c>
      <c r="L39" s="16" t="inlineStr">
        <is>
          <t>G1: lisans ve depo kararı. G2: mali müşavir teyidi. G3: Shopier test ödemesi. G4: ilk 20 öğrenen adayı. G6: yayına al, Search Console ile indeksleme süresini ölç.</t>
        </is>
      </c>
    </row>
    <row r="40">
      <c r="A40" s="7" t="str">
        <f>Secenekler!A40</f>
        <v>frontend-atlasi-c</v>
      </c>
      <c r="B40" s="7" t="str">
        <f>Secenekler!C40</f>
        <v>Eğitmene sabit kapsamlı ders ve laboratuvar üretimi</v>
      </c>
      <c r="C40" s="17" t="inlineStr">
        <is>
          <t>test</t>
        </is>
      </c>
      <c r="D40" s="17" t="inlineStr">
        <is>
          <t>test</t>
        </is>
      </c>
      <c r="E40" s="17" t="inlineStr">
        <is>
          <t>test</t>
        </is>
      </c>
      <c r="F40" s="17" t="inlineStr">
        <is>
          <t>test</t>
        </is>
      </c>
      <c r="G40" s="17" t="inlineStr">
        <is>
          <t>gecti</t>
        </is>
      </c>
      <c r="H40" s="17" t="inlineStr">
        <is>
          <t>gecti</t>
        </is>
      </c>
      <c r="I40" s="17" t="inlineStr">
        <is>
          <t>gecti</t>
        </is>
      </c>
      <c r="J40" s="17" t="inlineStr">
        <is>
          <t>test</t>
        </is>
      </c>
      <c r="K40" s="7" t="str">
        <f>IF(COUNTIF(C40:J40,"kaldi")&gt;0,"kaldi",IF(COUNTIF(C40:J40,"test")&gt;0,"test","gecti"))</f>
        <v>test</v>
      </c>
      <c r="L40" s="16" t="inlineStr">
        <is>
          <t>G1-G3: sözleşme ve fatura teyidi. G4: eğitmen listesi. G8: tek ders, tek laboratuvar, tek revizyon sınırını yazılı paket yap.</t>
        </is>
      </c>
    </row>
    <row r="41">
      <c r="A41" s="7" t="str">
        <f>Secenekler!A41</f>
        <v>karar-kitabi-a</v>
      </c>
      <c r="B41" s="7" t="str">
        <f>Secenekler!C41</f>
        <v>Yarım günlük kurumsal karar atölyesi</v>
      </c>
      <c r="C41" s="17" t="inlineStr">
        <is>
          <t>test</t>
        </is>
      </c>
      <c r="D41" s="17" t="inlineStr">
        <is>
          <t>test</t>
        </is>
      </c>
      <c r="E41" s="17" t="inlineStr">
        <is>
          <t>test</t>
        </is>
      </c>
      <c r="F41" s="17" t="inlineStr">
        <is>
          <t>test</t>
        </is>
      </c>
      <c r="G41" s="17" t="inlineStr">
        <is>
          <t>gecti</t>
        </is>
      </c>
      <c r="H41" s="17" t="inlineStr">
        <is>
          <t>test</t>
        </is>
      </c>
      <c r="I41" s="17" t="inlineStr">
        <is>
          <t>gecti</t>
        </is>
      </c>
      <c r="J41" s="17" t="inlineStr">
        <is>
          <t>gecti</t>
        </is>
      </c>
      <c r="K41" s="7" t="str">
        <f>IF(COUNTIF(C41:J41,"kaldi")&gt;0,"kaldi",IF(COUNTIF(C41:J41,"test")&gt;0,"test","gecti"))</f>
        <v>test</v>
      </c>
      <c r="L41" s="16" t="inlineStr">
        <is>
          <t>Atölye içeriğini yaygın yöntemlerden yeniden yaz, avukat notunu al, mali müşavirle faturayı netleştir, 20 isimlik şirket listesi çıkar.</t>
        </is>
      </c>
    </row>
    <row r="42">
      <c r="A42" s="7" t="str">
        <f>Secenekler!A42</f>
        <v>karar-kitabi-b</v>
      </c>
      <c r="B42" s="7" t="str">
        <f>Secenekler!C42</f>
        <v>Tema çalışma kâğıdı paketleri ve tam set</v>
      </c>
      <c r="C42" s="17" t="inlineStr">
        <is>
          <t>kaldi</t>
        </is>
      </c>
      <c r="D42" s="17" t="inlineStr">
        <is>
          <t>test</t>
        </is>
      </c>
      <c r="E42" s="17" t="inlineStr">
        <is>
          <t>test</t>
        </is>
      </c>
      <c r="F42" s="17" t="inlineStr">
        <is>
          <t>test</t>
        </is>
      </c>
      <c r="G42" s="17" t="inlineStr">
        <is>
          <t>gecti</t>
        </is>
      </c>
      <c r="H42" s="17" t="inlineStr">
        <is>
          <t>test</t>
        </is>
      </c>
      <c r="I42" s="17" t="inlineStr">
        <is>
          <t>gecti</t>
        </is>
      </c>
      <c r="J42" s="17" t="inlineStr">
        <is>
          <t>gecti</t>
        </is>
      </c>
      <c r="K42" s="7" t="str">
        <f>IF(COUNTIF(C42:J42,"kaldi")&gt;0,"kaldi",IF(COUNTIF(C42:J42,"test")&gt;0,"test","gecti"))</f>
        <v>kaldi</v>
      </c>
      <c r="L42" s="16" t="inlineStr">
        <is>
          <t>G1: yeni ad, seçki ve sıranın değişmesi, her yöntemin birincil kaynaktan yeniden yazımı, kaynak hak teyidi ve avukat notu; sonra G2-G4 teyidi.</t>
        </is>
      </c>
    </row>
    <row r="43">
      <c r="A43" s="7" t="str">
        <f>Secenekler!A43</f>
        <v>karar-kitabi-c</v>
      </c>
      <c r="B43" s="7" t="str">
        <f>Secenekler!C43</f>
        <v>Facilitatör için özgün karar memosu kiti</v>
      </c>
      <c r="C43" s="17" t="inlineStr">
        <is>
          <t>test</t>
        </is>
      </c>
      <c r="D43" s="17" t="inlineStr">
        <is>
          <t>test</t>
        </is>
      </c>
      <c r="E43" s="17" t="inlineStr">
        <is>
          <t>test</t>
        </is>
      </c>
      <c r="F43" s="17" t="inlineStr">
        <is>
          <t>test</t>
        </is>
      </c>
      <c r="G43" s="17" t="inlineStr">
        <is>
          <t>test</t>
        </is>
      </c>
      <c r="H43" s="17" t="inlineStr">
        <is>
          <t>test</t>
        </is>
      </c>
      <c r="I43" s="17" t="inlineStr">
        <is>
          <t>gecti</t>
        </is>
      </c>
      <c r="J43" s="17" t="inlineStr">
        <is>
          <t>gecti</t>
        </is>
      </c>
      <c r="K43" s="7" t="str">
        <f>IF(COUNTIF(C43:J43,"kaldi")&gt;0,"kaldi",IF(COUNTIF(C43:J43,"test")&gt;0,"test","gecti"))</f>
        <v>test</v>
      </c>
      <c r="L43" s="16" t="inlineStr">
        <is>
          <t>Hak envanterini bitir, 20 facilitatörlük isim listesi ve adlı bir topluluk ya da ortak bul, kit için ödeme hesabını aç, worksheet eforunu yaz.</t>
        </is>
      </c>
    </row>
    <row r="44">
      <c r="A44" s="7" t="str">
        <f>Secenekler!A44</f>
        <v>kurucu-sunum-hizmeti-a</v>
      </c>
      <c r="B44" s="7" t="str">
        <f>Secenekler!C44</f>
        <v>Hibe ve yatırım sunum paketi: site, canlı model, doğrulama</v>
      </c>
      <c r="C44" s="17" t="inlineStr">
        <is>
          <t>test</t>
        </is>
      </c>
      <c r="D44" s="17" t="inlineStr">
        <is>
          <t>test</t>
        </is>
      </c>
      <c r="E44" s="17" t="inlineStr">
        <is>
          <t>test</t>
        </is>
      </c>
      <c r="F44" s="17" t="inlineStr">
        <is>
          <t>test</t>
        </is>
      </c>
      <c r="G44" s="17" t="inlineStr">
        <is>
          <t>gecti</t>
        </is>
      </c>
      <c r="H44" s="17" t="inlineStr">
        <is>
          <t>gecti</t>
        </is>
      </c>
      <c r="I44" s="17" t="inlineStr">
        <is>
          <t>gecti</t>
        </is>
      </c>
      <c r="J44" s="17" t="inlineStr">
        <is>
          <t>gecti</t>
        </is>
      </c>
      <c r="K44" s="7" t="str">
        <f>IF(COUNTIF(C44:J44,"kaldi")&gt;0,"kaldi",IF(COUNTIF(C44:J44,"test")&gt;0,"test","gecti"))</f>
        <v>test</v>
      </c>
      <c r="L44" s="16" t="inlineStr">
        <is>
          <t>G1: kod ve içerik hakkını yazılı teyit et. G2: hukukçu ve mali müşavirle DPA ve fatura düzenini onayla. G3: havale ve e-arşiv düzenini kur. G4: 50 isim çıkar.</t>
        </is>
      </c>
    </row>
    <row r="45">
      <c r="A45" s="7" t="str">
        <f>Secenekler!A45</f>
        <v>kurucu-sunum-hizmeti-b</v>
      </c>
      <c r="B45" s="7" t="str">
        <f>Secenekler!C45</f>
        <v>Rakam tutarlılığı denetimi: tek dosya, sabit fiyat</v>
      </c>
      <c r="C45" s="17" t="inlineStr">
        <is>
          <t>test</t>
        </is>
      </c>
      <c r="D45" s="17" t="inlineStr">
        <is>
          <t>test</t>
        </is>
      </c>
      <c r="E45" s="17" t="inlineStr">
        <is>
          <t>test</t>
        </is>
      </c>
      <c r="F45" s="17" t="inlineStr">
        <is>
          <t>test</t>
        </is>
      </c>
      <c r="G45" s="17" t="inlineStr">
        <is>
          <t>gecti</t>
        </is>
      </c>
      <c r="H45" s="17" t="inlineStr">
        <is>
          <t>test</t>
        </is>
      </c>
      <c r="I45" s="17" t="inlineStr">
        <is>
          <t>gecti</t>
        </is>
      </c>
      <c r="J45" s="17" t="inlineStr">
        <is>
          <t>gecti</t>
        </is>
      </c>
      <c r="K45" s="7" t="str">
        <f>IF(COUNTIF(C45:J45,"kaldi")&gt;0,"kaldi",IF(COUNTIF(C45:J45,"test")&gt;0,"test","gecti"))</f>
        <v>test</v>
      </c>
      <c r="L45" s="16" t="inlineStr">
        <is>
          <t>G1: yöntem ve şablon hakkını yazılı teyit et. G2: NDA ve hizmet sözleşmesini hazırla. G3: havale ve e-arşiv düzenini kur. G4: isim listesi çıkar. G6: ilk atölye sonrası karar süresini ölç.</t>
        </is>
      </c>
    </row>
    <row r="46">
      <c r="A46" s="7" t="str">
        <f>Secenekler!A46</f>
        <v>kurucu-sunum-hizmeti-c</v>
      </c>
      <c r="B46" s="7" t="str">
        <f>Secenekler!C46</f>
        <v>Kuluçka ve TTO yıllık lisansı: şablon, doğrulayıcı, eğitim</v>
      </c>
      <c r="C46" s="17" t="inlineStr">
        <is>
          <t>test</t>
        </is>
      </c>
      <c r="D46" s="17" t="inlineStr">
        <is>
          <t>test</t>
        </is>
      </c>
      <c r="E46" s="17" t="inlineStr">
        <is>
          <t>test</t>
        </is>
      </c>
      <c r="F46" s="17" t="inlineStr">
        <is>
          <t>gecti</t>
        </is>
      </c>
      <c r="G46" s="17" t="inlineStr">
        <is>
          <t>gecti</t>
        </is>
      </c>
      <c r="H46" s="17" t="inlineStr">
        <is>
          <t>test</t>
        </is>
      </c>
      <c r="I46" s="17" t="inlineStr">
        <is>
          <t>gecti</t>
        </is>
      </c>
      <c r="J46" s="17" t="inlineStr">
        <is>
          <t>test</t>
        </is>
      </c>
      <c r="K46" s="7" t="str">
        <f>IF(COUNTIF(C46:J46,"kaldi")&gt;0,"kaldi",IF(COUNTIF(C46:J46,"test")&gt;0,"test","gecti"))</f>
        <v>test</v>
      </c>
      <c r="L46" s="16" t="inlineStr">
        <is>
          <t>G1: hak teyidi al. G2: DPA ve lisans sözleşmesini hukukçuyla hazırla. G3: fatura düzenini kur. G6: ilk iki görüşmede karar süresini ölç. G8: pilot kapsamını 2 sayfada sabitle.</t>
        </is>
      </c>
    </row>
    <row r="47">
      <c r="A47" s="7" t="str">
        <f>Secenekler!A47</f>
        <v>vize-operasyon-a</v>
      </c>
      <c r="B47" s="7" t="str">
        <f>Secenekler!C47</f>
        <v>Acente paneli: 90 günlük pilot, sonra abonelik</v>
      </c>
      <c r="C47" s="17" t="inlineStr">
        <is>
          <t>test</t>
        </is>
      </c>
      <c r="D47" s="17" t="inlineStr">
        <is>
          <t>test</t>
        </is>
      </c>
      <c r="E47" s="17" t="inlineStr">
        <is>
          <t>test</t>
        </is>
      </c>
      <c r="F47" s="17" t="inlineStr">
        <is>
          <t>test</t>
        </is>
      </c>
      <c r="G47" s="17" t="inlineStr">
        <is>
          <t>gecti</t>
        </is>
      </c>
      <c r="H47" s="17" t="inlineStr">
        <is>
          <t>test</t>
        </is>
      </c>
      <c r="I47" s="17" t="inlineStr">
        <is>
          <t>test</t>
        </is>
      </c>
      <c r="J47" s="17" t="inlineStr">
        <is>
          <t>gecti</t>
        </is>
      </c>
      <c r="K47" s="7" t="str">
        <f>IF(COUNTIF(C47:J47,"kaldi")&gt;0,"kaldi",IF(COUNTIF(C47:J47,"test")&gt;0,"test","gecti"))</f>
        <v>test</v>
      </c>
      <c r="L47" s="16" t="inlineStr">
        <is>
          <t>G1 lisans kararı; G2 KVKK teyidi; G3 sanal POS/havale; G4 isim listesi; G6 kodu çalıştırıp 5 hafta ölç; G7 KVKK ve saha bütçesini teklifle kesinleştir.</t>
        </is>
      </c>
    </row>
    <row r="48">
      <c r="A48" s="7" t="str">
        <f>Secenekler!A48</f>
        <v>vize-operasyon-b</v>
      </c>
      <c r="B48" s="7" t="str">
        <f>Secenekler!C48</f>
        <v>Acente Sheet doğrulama ve eksik belge kuyruğu (ücretli pilot)</v>
      </c>
      <c r="C48" s="17" t="inlineStr">
        <is>
          <t>test</t>
        </is>
      </c>
      <c r="D48" s="17" t="inlineStr">
        <is>
          <t>test</t>
        </is>
      </c>
      <c r="E48" s="17" t="inlineStr">
        <is>
          <t>test</t>
        </is>
      </c>
      <c r="F48" s="17" t="inlineStr">
        <is>
          <t>test</t>
        </is>
      </c>
      <c r="G48" s="17" t="inlineStr">
        <is>
          <t>test</t>
        </is>
      </c>
      <c r="H48" s="17" t="inlineStr">
        <is>
          <t>test</t>
        </is>
      </c>
      <c r="I48" s="17" t="inlineStr">
        <is>
          <t>gecti</t>
        </is>
      </c>
      <c r="J48" s="17" t="inlineStr">
        <is>
          <t>test</t>
        </is>
      </c>
      <c r="K48" s="7" t="str">
        <f>IF(COUNTIF(C48:J48,"kaldi")&gt;0,"kaldi",IF(COUNTIF(C48:J48,"test")&gt;0,"test","gecti"))</f>
        <v>test</v>
      </c>
      <c r="L48" s="16" t="inlineStr">
        <is>
          <t>G1 lisans; G2 hukukçu teyidi; G3 havale ve fatura; G4 isim listesi; G5 bölge kurulundan yazılı izin ya da ilişki belgesi; G6 ilk dilimi ölç; G8 en çok 3 şablon, 2 kolon eşleme.</t>
        </is>
      </c>
    </row>
    <row r="49">
      <c r="A49" s="7" t="str">
        <f>Secenekler!A49</f>
        <v>vize-operasyon-c</v>
      </c>
      <c r="B49" s="7" t="str">
        <f>Secenekler!C49</f>
        <v>Başvurucu evrak kontrolü: 299/599 ₺ rapor, SEO ile</v>
      </c>
      <c r="C49" s="17" t="inlineStr">
        <is>
          <t>test</t>
        </is>
      </c>
      <c r="D49" s="17" t="inlineStr">
        <is>
          <t>test</t>
        </is>
      </c>
      <c r="E49" s="17" t="inlineStr">
        <is>
          <t>test</t>
        </is>
      </c>
      <c r="F49" s="17" t="inlineStr">
        <is>
          <t>test</t>
        </is>
      </c>
      <c r="G49" s="17" t="inlineStr">
        <is>
          <t>gecti</t>
        </is>
      </c>
      <c r="H49" s="17" t="inlineStr">
        <is>
          <t>kaldi</t>
        </is>
      </c>
      <c r="I49" s="17" t="inlineStr">
        <is>
          <t>gecti</t>
        </is>
      </c>
      <c r="J49" s="17" t="inlineStr">
        <is>
          <t>gecti</t>
        </is>
      </c>
      <c r="K49" s="7" t="str">
        <f>IF(COUNTIF(C49:J49,"kaldi")&gt;0,"kaldi",IF(COUNTIF(C49:J49,"test")&gt;0,"test","gecti"))</f>
        <v>kaldi</v>
      </c>
      <c r="L49" s="16" t="inlineStr">
        <is>
          <t>G6: ilk sürümü tek ülke şablonu ve elle ödeme bağlantısıyla 120 saate indir. G1: lisans ve kaynak kullanım teyidi. G2: hukukçu teyidi ve veri maskeleme. G3: sanal POS hesabı.</t>
        </is>
      </c>
    </row>
    <row r="50">
      <c r="A50" s="7" t="str">
        <f>Secenekler!A50</f>
        <v>software-factory-a</v>
      </c>
      <c r="B50" s="7" t="str">
        <f>Secenekler!C50</f>
        <v>Sabit fiyatlı kanıtlı MVP paketi (S/M/L)</v>
      </c>
      <c r="C50" s="17" t="inlineStr">
        <is>
          <t>test</t>
        </is>
      </c>
      <c r="D50" s="17" t="inlineStr">
        <is>
          <t>test</t>
        </is>
      </c>
      <c r="E50" s="17" t="inlineStr">
        <is>
          <t>test</t>
        </is>
      </c>
      <c r="F50" s="17" t="inlineStr">
        <is>
          <t>test</t>
        </is>
      </c>
      <c r="G50" s="17" t="inlineStr">
        <is>
          <t>gecti</t>
        </is>
      </c>
      <c r="H50" s="17" t="inlineStr">
        <is>
          <t>test</t>
        </is>
      </c>
      <c r="I50" s="17" t="inlineStr">
        <is>
          <t>gecti</t>
        </is>
      </c>
      <c r="J50" s="17" t="inlineStr">
        <is>
          <t>test</t>
        </is>
      </c>
      <c r="K50" s="7" t="str">
        <f>IF(COUNTIF(C50:J50,"kaldi")&gt;0,"kaldi",IF(COUNTIF(C50:J50,"test")&gt;0,"test","gecti"))</f>
        <v>test</v>
      </c>
      <c r="L50" s="16" t="inlineStr">
        <is>
          <t>G1 lisans ve API koşulu kontrolü; G2 avukat ve mali müşavir teyidi; G3 hesap ve e-Arşiv; G4 50 isimlik liste; G8 sözleşme şablonu; G6 ilk pilot sözleşmesi ve depozito ile satış döngüsünü ölç.</t>
        </is>
      </c>
    </row>
    <row r="51">
      <c r="A51" s="7" t="str">
        <f>Secenekler!A51</f>
        <v>software-factory-b</v>
      </c>
      <c r="B51" s="7" t="str">
        <f>Secenekler!C51</f>
        <v>Tek repo için ajan PR makbuzu kurulum hizmeti</v>
      </c>
      <c r="C51" s="17" t="inlineStr">
        <is>
          <t>test</t>
        </is>
      </c>
      <c r="D51" s="17" t="inlineStr">
        <is>
          <t>test</t>
        </is>
      </c>
      <c r="E51" s="17" t="inlineStr">
        <is>
          <t>test</t>
        </is>
      </c>
      <c r="F51" s="17" t="inlineStr">
        <is>
          <t>test</t>
        </is>
      </c>
      <c r="G51" s="17" t="inlineStr">
        <is>
          <t>gecti</t>
        </is>
      </c>
      <c r="H51" s="17" t="inlineStr">
        <is>
          <t>test</t>
        </is>
      </c>
      <c r="I51" s="17" t="inlineStr">
        <is>
          <t>gecti</t>
        </is>
      </c>
      <c r="J51" s="17" t="inlineStr">
        <is>
          <t>test</t>
        </is>
      </c>
      <c r="K51" s="7" t="str">
        <f>IF(COUNTIF(C51:J51,"kaldi")&gt;0,"kaldi",IF(COUNTIF(C51:J51,"test")&gt;0,"test","gecti"))</f>
        <v>test</v>
      </c>
      <c r="L51" s="16" t="inlineStr">
        <is>
          <t>G1 lisans kararı; G2 gizlilik metni; G3 tahsilat hesabı; G4 isim listesi; G6 ilk kurulumu ölç; G8 kapsam sayfası.</t>
        </is>
      </c>
    </row>
    <row r="52">
      <c r="A52" s="7" t="str">
        <f>Secenekler!A52</f>
        <v>software-factory-c</v>
      </c>
      <c r="B52" s="7" t="str">
        <f>Secenekler!C52</f>
        <v>Ajanslara beyaz etiket kanıtlı MVP kapasitesi</v>
      </c>
      <c r="C52" s="17" t="inlineStr">
        <is>
          <t>test</t>
        </is>
      </c>
      <c r="D52" s="17" t="inlineStr">
        <is>
          <t>test</t>
        </is>
      </c>
      <c r="E52" s="17" t="inlineStr">
        <is>
          <t>test</t>
        </is>
      </c>
      <c r="F52" s="17" t="inlineStr">
        <is>
          <t>test</t>
        </is>
      </c>
      <c r="G52" s="17" t="inlineStr">
        <is>
          <t>gecti</t>
        </is>
      </c>
      <c r="H52" s="17" t="inlineStr">
        <is>
          <t>test</t>
        </is>
      </c>
      <c r="I52" s="17" t="inlineStr">
        <is>
          <t>gecti</t>
        </is>
      </c>
      <c r="J52" s="17" t="inlineStr">
        <is>
          <t>test</t>
        </is>
      </c>
      <c r="K52" s="7" t="str">
        <f>IF(COUNTIF(C52:J52,"kaldi")&gt;0,"kaldi",IF(COUNTIF(C52:J52,"test")&gt;0,"test","gecti"))</f>
        <v>test</v>
      </c>
      <c r="L52" s="16" t="inlineStr">
        <is>
          <t>G1 lisans ve API koşulu; G2 üçlü sözleşme teyidi; G3 hesap; G4 40 ajans listesi; G6 ilk ajansla deneme; G8 kapsam şablonu.</t>
        </is>
      </c>
    </row>
    <row r="53">
      <c r="A53" s="7" t="str">
        <f>Secenekler!A53</f>
        <v>strateji-simulatoru-a</v>
      </c>
      <c r="B53" s="7" t="str">
        <f>Secenekler!C53</f>
        <v>Kuluçka ve BİGG uygulayıcıya white-label lisans</v>
      </c>
      <c r="C53" s="17" t="inlineStr">
        <is>
          <t>gecti</t>
        </is>
      </c>
      <c r="D53" s="17" t="inlineStr">
        <is>
          <t>test</t>
        </is>
      </c>
      <c r="E53" s="17" t="inlineStr">
        <is>
          <t>test</t>
        </is>
      </c>
      <c r="F53" s="17" t="inlineStr">
        <is>
          <t>gecti</t>
        </is>
      </c>
      <c r="G53" s="17" t="inlineStr">
        <is>
          <t>gecti</t>
        </is>
      </c>
      <c r="H53" s="17" t="inlineStr">
        <is>
          <t>test</t>
        </is>
      </c>
      <c r="I53" s="17" t="inlineStr">
        <is>
          <t>gecti</t>
        </is>
      </c>
      <c r="J53" s="17" t="inlineStr">
        <is>
          <t>test</t>
        </is>
      </c>
      <c r="K53" s="7" t="str">
        <f>IF(COUNTIF(C53:J53,"kaldi")&gt;0,"kaldi",IF(COUNTIF(C53:J53,"test")&gt;0,"test","gecti"))</f>
        <v>test</v>
      </c>
      <c r="L53" s="16" t="inlineStr">
        <is>
          <t>G2/G3: hukuk metni ve fatura akışı için mali müşavir ve hukukçu teyidi. G6: pilot sözleşmesine ücretli başlangıç tarihi yazmak. G8: paket kapsamını ve ayar listesini tek sayfada sabitlemek.</t>
        </is>
      </c>
    </row>
    <row r="54">
      <c r="A54" s="7" t="str">
        <f>Secenekler!A54</f>
        <v>strateji-simulatoru-b</v>
      </c>
      <c r="B54" s="7" t="str">
        <f>Secenekler!C54</f>
        <v>Girişimci adayına ücretli yönetici raporu (PDF)</v>
      </c>
      <c r="C54" s="17" t="inlineStr">
        <is>
          <t>gecti</t>
        </is>
      </c>
      <c r="D54" s="17" t="inlineStr">
        <is>
          <t>test</t>
        </is>
      </c>
      <c r="E54" s="17" t="inlineStr">
        <is>
          <t>test</t>
        </is>
      </c>
      <c r="F54" s="17" t="inlineStr">
        <is>
          <t>test</t>
        </is>
      </c>
      <c r="G54" s="17" t="inlineStr">
        <is>
          <t>gecti</t>
        </is>
      </c>
      <c r="H54" s="17" t="inlineStr">
        <is>
          <t>gecti</t>
        </is>
      </c>
      <c r="I54" s="17" t="inlineStr">
        <is>
          <t>gecti</t>
        </is>
      </c>
      <c r="J54" s="17" t="inlineStr">
        <is>
          <t>gecti</t>
        </is>
      </c>
      <c r="K54" s="7" t="str">
        <f>IF(COUNTIF(C54:J54,"kaldi")&gt;0,"kaldi",IF(COUNTIF(C54:J54,"test")&gt;0,"test","gecti"))</f>
        <v>test</v>
      </c>
      <c r="L54" s="16" t="inlineStr">
        <is>
          <t>G2: hukuk metinleri için avukat kontrolü. G3: ödeme hesaplarını açıp uçtan uca test satın alma. G4: mevcut müşteri listesinden en az 20 isim çıkarmak.</t>
        </is>
      </c>
    </row>
    <row r="55">
      <c r="A55" s="7" t="str">
        <f>Secenekler!A55</f>
        <v>strateji-simulatoru-c</v>
      </c>
      <c r="B55" s="7" t="str">
        <f>Secenekler!C55</f>
        <v>Mevcut müşterilere değerlendirme raporu ve yorum görüşmesi</v>
      </c>
      <c r="C55" s="17" t="inlineStr">
        <is>
          <t>gecti</t>
        </is>
      </c>
      <c r="D55" s="17" t="inlineStr">
        <is>
          <t>gecti</t>
        </is>
      </c>
      <c r="E55" s="17" t="inlineStr">
        <is>
          <t>gecti</t>
        </is>
      </c>
      <c r="F55" s="17" t="inlineStr">
        <is>
          <t>test</t>
        </is>
      </c>
      <c r="G55" s="17" t="inlineStr">
        <is>
          <t>gecti</t>
        </is>
      </c>
      <c r="H55" s="17" t="inlineStr">
        <is>
          <t>gecti</t>
        </is>
      </c>
      <c r="I55" s="17" t="inlineStr">
        <is>
          <t>gecti</t>
        </is>
      </c>
      <c r="J55" s="17" t="inlineStr">
        <is>
          <t>gecti</t>
        </is>
      </c>
      <c r="K55" s="7" t="str">
        <f>IF(COUNTIF(C55:J55,"kaldi")&gt;0,"kaldi",IF(COUNTIF(C55:J55,"test")&gt;0,"test","gecti"))</f>
        <v>test</v>
      </c>
      <c r="L55" s="16" t="inlineStr">
        <is>
          <t>G4: mevcut müşteri listesini çıkarıp en az 20 ismi yazmak.</t>
        </is>
      </c>
    </row>
    <row r="56">
      <c r="A56" s="7" t="str">
        <f>Secenekler!A56</f>
        <v>ajan-kaynak-koruyucu-a</v>
      </c>
      <c r="B56" s="7" t="str">
        <f>Secenekler!C56</f>
        <v>Pro menü çubuğu uygulaması ve rehber paketi (bireysel geliştirici)</v>
      </c>
      <c r="C56" s="17" t="inlineStr">
        <is>
          <t>test</t>
        </is>
      </c>
      <c r="D56" s="17" t="inlineStr">
        <is>
          <t>test</t>
        </is>
      </c>
      <c r="E56" s="17" t="inlineStr">
        <is>
          <t>test</t>
        </is>
      </c>
      <c r="F56" s="17" t="inlineStr">
        <is>
          <t>test</t>
        </is>
      </c>
      <c r="G56" s="17" t="inlineStr">
        <is>
          <t>gecti</t>
        </is>
      </c>
      <c r="H56" s="17" t="inlineStr">
        <is>
          <t>test</t>
        </is>
      </c>
      <c r="I56" s="17" t="inlineStr">
        <is>
          <t>gecti</t>
        </is>
      </c>
      <c r="J56" s="17" t="inlineStr">
        <is>
          <t>gecti</t>
        </is>
      </c>
      <c r="K56" s="7" t="str">
        <f>IF(COUNTIF(C56:J56,"kaldi")&gt;0,"kaldi",IF(COUNTIF(C56:J56,"test")&gt;0,"test","gecti"))</f>
        <v>test</v>
      </c>
      <c r="L56" s="16" t="inlineStr">
        <is>
          <t>Lisans ve ad kararı, mali müşavir teyidi, Lemon Squeezy hesabı ve test ödemesi, 20 geliştirici adı; ilk kapsamı 8 haftanın altına daralt, efor ve satış döngüsünü beta ile ölç.</t>
        </is>
      </c>
    </row>
    <row r="57">
      <c r="A57" s="7" t="str">
        <f>Secenekler!A57</f>
        <v>ajan-kaynak-koruyucu-b</v>
      </c>
      <c r="B57" s="7" t="str">
        <f>Secenekler!C57</f>
        <v>Rapor-yalnız paket ve destekli kurulum/uyumluluk hizmeti</v>
      </c>
      <c r="C57" s="17" t="inlineStr">
        <is>
          <t>test</t>
        </is>
      </c>
      <c r="D57" s="17" t="inlineStr">
        <is>
          <t>test</t>
        </is>
      </c>
      <c r="E57" s="17" t="inlineStr">
        <is>
          <t>test</t>
        </is>
      </c>
      <c r="F57" s="17" t="inlineStr">
        <is>
          <t>test</t>
        </is>
      </c>
      <c r="G57" s="17" t="inlineStr">
        <is>
          <t>gecti</t>
        </is>
      </c>
      <c r="H57" s="17" t="inlineStr">
        <is>
          <t>gecti</t>
        </is>
      </c>
      <c r="I57" s="17" t="inlineStr">
        <is>
          <t>gecti</t>
        </is>
      </c>
      <c r="J57" s="17" t="inlineStr">
        <is>
          <t>gecti</t>
        </is>
      </c>
      <c r="K57" s="7" t="str">
        <f>IF(COUNTIF(C57:J57,"kaldi")&gt;0,"kaldi",IF(COUNTIF(C57:J57,"test")&gt;0,"test","gecti"))</f>
        <v>test</v>
      </c>
      <c r="L57" s="16" t="inlineStr">
        <is>
          <t>Depo, lisans ve ad kararı; mali müşavirle hizmet ihracatı ve sorumluluk metni; Lemon Squeezy ya da havale düzeni; 20 takım adını listele.</t>
        </is>
      </c>
    </row>
    <row r="58">
      <c r="A58" s="7" t="str">
        <f>Secenekler!A58</f>
        <v>ajan-kaynak-koruyucu-c</v>
      </c>
      <c r="B58" s="7" t="str">
        <f>Secenekler!C58</f>
        <v>Orkestratör ortaklığı ve kurumsal sponsorluk (kabul API'si)</v>
      </c>
      <c r="C58" s="17" t="inlineStr">
        <is>
          <t>test</t>
        </is>
      </c>
      <c r="D58" s="17" t="inlineStr">
        <is>
          <t>test</t>
        </is>
      </c>
      <c r="E58" s="17" t="inlineStr">
        <is>
          <t>test</t>
        </is>
      </c>
      <c r="F58" s="17" t="inlineStr">
        <is>
          <t>test</t>
        </is>
      </c>
      <c r="G58" s="17" t="inlineStr">
        <is>
          <t>gecti</t>
        </is>
      </c>
      <c r="H58" s="17" t="inlineStr">
        <is>
          <t>test</t>
        </is>
      </c>
      <c r="I58" s="17" t="inlineStr">
        <is>
          <t>gecti</t>
        </is>
      </c>
      <c r="J58" s="17" t="inlineStr">
        <is>
          <t>gecti</t>
        </is>
      </c>
      <c r="K58" s="7" t="str">
        <f>IF(COUNTIF(C58:J58,"kaldi")&gt;0,"kaldi",IF(COUNTIF(C58:J58,"test")&gt;0,"test","gecti"))</f>
        <v>test</v>
      </c>
      <c r="L58" s="16" t="inlineStr">
        <is>
          <t>Lisans ve ad kararı, GitHub Sponsors Türkiye teyidi, mali müşavir görüşü, 20 orkestratör ve geliştirici aracı adını listele; döngüyü iki orkestratör görüşmesiyle ölç.</t>
        </is>
      </c>
    </row>
    <row r="59">
      <c r="A59" s="7" t="str">
        <f>Secenekler!A59</f>
        <v>actionplan-a</v>
      </c>
      <c r="B59" s="7" t="str">
        <f>Secenekler!C59</f>
        <v>Ajan görev paketi: açık çekirdek ve Pro şablonlar</v>
      </c>
      <c r="C59" s="17" t="inlineStr">
        <is>
          <t>test</t>
        </is>
      </c>
      <c r="D59" s="17" t="inlineStr">
        <is>
          <t>test</t>
        </is>
      </c>
      <c r="E59" s="17" t="inlineStr">
        <is>
          <t>test</t>
        </is>
      </c>
      <c r="F59" s="17" t="inlineStr">
        <is>
          <t>test</t>
        </is>
      </c>
      <c r="G59" s="17" t="inlineStr">
        <is>
          <t>gecti</t>
        </is>
      </c>
      <c r="H59" s="17" t="inlineStr">
        <is>
          <t>test</t>
        </is>
      </c>
      <c r="I59" s="17" t="inlineStr">
        <is>
          <t>gecti</t>
        </is>
      </c>
      <c r="J59" s="17" t="inlineStr">
        <is>
          <t>gecti</t>
        </is>
      </c>
      <c r="K59" s="7" t="str">
        <f>IF(COUNTIF(C59:J59,"kaldi")&gt;0,"kaldi",IF(COUNTIF(C59:J59,"test")&gt;0,"test","gecti"))</f>
        <v>test</v>
      </c>
      <c r="L59" s="16" t="inlineStr">
        <is>
          <t>Lisans kararını kurucu onaylasın; MoR hesabını aç ve test ödemesi yap; 20 isimlik liste çıkar; 2 haftalık denemede kalan eforu ölç.</t>
        </is>
      </c>
    </row>
    <row r="60">
      <c r="A60" s="7" t="str">
        <f>Secenekler!A60</f>
        <v>actionplan-b</v>
      </c>
      <c r="B60" s="7" t="str">
        <f>Secenekler!C60</f>
        <v>Teslim kabul kurulumu: sürümlü kapsam ve kanıt paketi</v>
      </c>
      <c r="C60" s="17" t="inlineStr">
        <is>
          <t>test</t>
        </is>
      </c>
      <c r="D60" s="17" t="inlineStr">
        <is>
          <t>test</t>
        </is>
      </c>
      <c r="E60" s="17" t="inlineStr">
        <is>
          <t>test</t>
        </is>
      </c>
      <c r="F60" s="17" t="inlineStr">
        <is>
          <t>test</t>
        </is>
      </c>
      <c r="G60" s="17" t="inlineStr">
        <is>
          <t>test</t>
        </is>
      </c>
      <c r="H60" s="17" t="inlineStr">
        <is>
          <t>test</t>
        </is>
      </c>
      <c r="I60" s="17" t="inlineStr">
        <is>
          <t>gecti</t>
        </is>
      </c>
      <c r="J60" s="17" t="inlineStr">
        <is>
          <t>gecti</t>
        </is>
      </c>
      <c r="K60" s="7" t="str">
        <f>IF(COUNTIF(C60:J60,"kaldi")&gt;0,"kaldi",IF(COUNTIF(C60:J60,"test")&gt;0,"test","gecti"))</f>
        <v>test</v>
      </c>
      <c r="L60" s="16" t="inlineStr">
        <is>
          <t>Kapsam sınırını yazılı yap; 20 ajans lideri listesi çıkar; satış döngüsünü 3 ajansla ölç; Plane Marketplace koşullarını araştır; hukukçudan KVKK görüşü al; havale ve fatura düzenini kur.</t>
        </is>
      </c>
    </row>
    <row r="61">
      <c r="A61" s="7" t="str">
        <f>Secenekler!A61</f>
        <v>actionplan-c</v>
      </c>
      <c r="B61" s="7" t="str">
        <f>Secenekler!C61</f>
        <v>Türkçe ajan görev şablon paketi</v>
      </c>
      <c r="C61" s="17" t="inlineStr">
        <is>
          <t>test</t>
        </is>
      </c>
      <c r="D61" s="17" t="inlineStr">
        <is>
          <t>test</t>
        </is>
      </c>
      <c r="E61" s="17" t="inlineStr">
        <is>
          <t>test</t>
        </is>
      </c>
      <c r="F61" s="17" t="inlineStr">
        <is>
          <t>test</t>
        </is>
      </c>
      <c r="G61" s="17" t="inlineStr">
        <is>
          <t>test</t>
        </is>
      </c>
      <c r="H61" s="17" t="inlineStr">
        <is>
          <t>gecti</t>
        </is>
      </c>
      <c r="I61" s="17" t="inlineStr">
        <is>
          <t>gecti</t>
        </is>
      </c>
      <c r="J61" s="17" t="inlineStr">
        <is>
          <t>gecti</t>
        </is>
      </c>
      <c r="K61" s="7" t="str">
        <f>IF(COUNTIF(C61:J61,"kaldi")&gt;0,"kaldi",IF(COUNTIF(C61:J61,"test")&gt;0,"test","gecti"))</f>
        <v>test</v>
      </c>
      <c r="L61" s="16" t="inlineStr">
        <is>
          <t>Mali müşavirden satış ve fatura düzeni teyidi al; ödeme hesabını aç ve test ödemesi yap; Türkçe kanal adlarını doğrula; 20 isimlik liste çıkar.</t>
        </is>
      </c>
    </row>
    <row r="62">
      <c r="A62" s="7" t="str">
        <f>Secenekler!A62</f>
        <v>ajan-gozlem-paneli-a</v>
      </c>
      <c r="B62" s="7" t="str">
        <f>Secenekler!C62</f>
        <v>Koruyucu Pro içinde Gözlem Paneli (tek seferlik lisans)</v>
      </c>
      <c r="C62" s="17" t="inlineStr">
        <is>
          <t>test</t>
        </is>
      </c>
      <c r="D62" s="17" t="inlineStr">
        <is>
          <t>gecti</t>
        </is>
      </c>
      <c r="E62" s="17" t="inlineStr">
        <is>
          <t>test</t>
        </is>
      </c>
      <c r="F62" s="17" t="inlineStr">
        <is>
          <t>test</t>
        </is>
      </c>
      <c r="G62" s="17" t="inlineStr">
        <is>
          <t>gecti</t>
        </is>
      </c>
      <c r="H62" s="17" t="inlineStr">
        <is>
          <t>test</t>
        </is>
      </c>
      <c r="I62" s="17" t="inlineStr">
        <is>
          <t>gecti</t>
        </is>
      </c>
      <c r="J62" s="17" t="inlineStr">
        <is>
          <t>gecti</t>
        </is>
      </c>
      <c r="K62" s="7" t="str">
        <f>IF(COUNTIF(C62:J62,"kaldi")&gt;0,"kaldi",IF(COUNTIF(C62:J62,"test")&gt;0,"test","gecti"))</f>
        <v>test</v>
      </c>
      <c r="L62" s="16" t="inlineStr">
        <is>
          <t>Satıcı hizmeti hesabını açıp test ödemesi yapmak; 20 hedef geliştirici listesi çıkarmak; Pro uygulamasının kalan eforunu saat olarak yazmak; fiyat verisi lisansını okumak.</t>
        </is>
      </c>
    </row>
    <row r="63">
      <c r="A63" s="7" t="str">
        <f>Secenekler!A63</f>
        <v>ajan-gozlem-paneli-b</v>
      </c>
      <c r="B63" s="7" t="str">
        <f>Secenekler!C63</f>
        <v>Ajanslar için aylık proje bazlı yapay zekâ maliyet raporu</v>
      </c>
      <c r="C63" s="17" t="inlineStr">
        <is>
          <t>test</t>
        </is>
      </c>
      <c r="D63" s="17" t="inlineStr">
        <is>
          <t>test</t>
        </is>
      </c>
      <c r="E63" s="17" t="inlineStr">
        <is>
          <t>test</t>
        </is>
      </c>
      <c r="F63" s="17" t="inlineStr">
        <is>
          <t>test</t>
        </is>
      </c>
      <c r="G63" s="17" t="inlineStr">
        <is>
          <t>test</t>
        </is>
      </c>
      <c r="H63" s="17" t="inlineStr">
        <is>
          <t>gecti</t>
        </is>
      </c>
      <c r="I63" s="17" t="inlineStr">
        <is>
          <t>gecti</t>
        </is>
      </c>
      <c r="J63" s="17" t="inlineStr">
        <is>
          <t>gecti</t>
        </is>
      </c>
      <c r="K63" s="7" t="str">
        <f>IF(COUNTIF(C63:J63,"kaldi")&gt;0,"kaldi",IF(COUNTIF(C63:J63,"test")&gt;0,"test","gecti"))</f>
        <v>test</v>
      </c>
      <c r="L63" s="16" t="inlineStr">
        <is>
          <t>Hukukçuyla işleme metnini teyit etmek; 20 ajansı adlandırmak ve gruplara girişi kurmak; fatura akışını ilk satıştan önce denemek; fiyat verisi lisansını okumak.</t>
        </is>
      </c>
    </row>
    <row r="64">
      <c r="A64" s="7" t="str">
        <f>Secenekler!A64</f>
        <v>ajan-gozlem-paneli-c</v>
      </c>
      <c r="B64" s="7" t="str">
        <f>Secenekler!C64</f>
        <v>Yapay zekâ iş izleme kartı kurulum paketi</v>
      </c>
      <c r="C64" s="17" t="inlineStr">
        <is>
          <t>gecti</t>
        </is>
      </c>
      <c r="D64" s="17" t="inlineStr">
        <is>
          <t>gecti</t>
        </is>
      </c>
      <c r="E64" s="17" t="inlineStr">
        <is>
          <t>test</t>
        </is>
      </c>
      <c r="F64" s="17" t="inlineStr">
        <is>
          <t>kaldi</t>
        </is>
      </c>
      <c r="G64" s="17" t="inlineStr">
        <is>
          <t>test</t>
        </is>
      </c>
      <c r="H64" s="17" t="inlineStr">
        <is>
          <t>gecti</t>
        </is>
      </c>
      <c r="I64" s="17" t="inlineStr">
        <is>
          <t>gecti</t>
        </is>
      </c>
      <c r="J64" s="17" t="inlineStr">
        <is>
          <t>test</t>
        </is>
      </c>
      <c r="K64" s="7" t="str">
        <f>IF(COUNTIF(C64:J64,"kaldi")&gt;0,"kaldi",IF(COUNTIF(C64:J64,"test")&gt;0,"test","gecti"))</f>
        <v>kaldi</v>
      </c>
      <c r="L64" s="16" t="inlineStr">
        <is>
          <t>Önce somut alıcı tipini ve 20 kişilik listeyi çıkarmak; kapsam sınırını yazmak; kanal olarak adlı bir topluluk seçmek; hesap ve fatura düzenini kurmak.</t>
        </is>
      </c>
    </row>
    <row r="65">
      <c r="A65" s="7" t="str">
        <f>Secenekler!A65</f>
        <v>ai-first-tasarim-a</v>
      </c>
      <c r="B65" s="7" t="str">
        <f>Secenekler!C65</f>
        <v>Türkçe yapay zekâ öncelikli tasarım sistemi rehberi (e-kitap)</v>
      </c>
      <c r="C65" s="17" t="inlineStr">
        <is>
          <t>test</t>
        </is>
      </c>
      <c r="D65" s="17" t="inlineStr">
        <is>
          <t>test</t>
        </is>
      </c>
      <c r="E65" s="17" t="inlineStr">
        <is>
          <t>test</t>
        </is>
      </c>
      <c r="F65" s="17" t="inlineStr">
        <is>
          <t>test</t>
        </is>
      </c>
      <c r="G65" s="17" t="inlineStr">
        <is>
          <t>gecti</t>
        </is>
      </c>
      <c r="H65" s="17" t="inlineStr">
        <is>
          <t>test</t>
        </is>
      </c>
      <c r="I65" s="17" t="inlineStr">
        <is>
          <t>gecti</t>
        </is>
      </c>
      <c r="J65" s="17" t="inlineStr">
        <is>
          <t>gecti</t>
        </is>
      </c>
      <c r="K65" s="7" t="str">
        <f>IF(COUNTIF(C65:J65,"kaldi")&gt;0,"kaldi",IF(COUNTIF(C65:J65,"test")&gt;0,"test","gecti"))</f>
        <v>test</v>
      </c>
      <c r="L65" s="16" t="inlineStr">
        <is>
          <t>Lisans dosyasını ve bağımlılık taramasını yaz, hukukçu teyidi al, Shopier hesabını aç ve test ödemesi yap, 20 kişilik alıcı listesini yaz, kalan efor tahminini ölç.</t>
        </is>
      </c>
    </row>
    <row r="66">
      <c r="A66" s="7" t="str">
        <f>Secenekler!A66</f>
        <v>ai-first-tasarim-b</v>
      </c>
      <c r="B66" s="7" t="str">
        <f>Secenekler!C66</f>
        <v>Ekip atölyesi ve 2 haftalık tasarım sistemi kurulumu</v>
      </c>
      <c r="C66" s="17" t="inlineStr">
        <is>
          <t>test</t>
        </is>
      </c>
      <c r="D66" s="17" t="inlineStr">
        <is>
          <t>test</t>
        </is>
      </c>
      <c r="E66" s="17" t="inlineStr">
        <is>
          <t>test</t>
        </is>
      </c>
      <c r="F66" s="17" t="inlineStr">
        <is>
          <t>test</t>
        </is>
      </c>
      <c r="G66" s="17" t="inlineStr">
        <is>
          <t>gecti</t>
        </is>
      </c>
      <c r="H66" s="17" t="inlineStr">
        <is>
          <t>test</t>
        </is>
      </c>
      <c r="I66" s="17" t="inlineStr">
        <is>
          <t>gecti</t>
        </is>
      </c>
      <c r="J66" s="17" t="inlineStr">
        <is>
          <t>test</t>
        </is>
      </c>
      <c r="K66" s="7" t="str">
        <f>IF(COUNTIF(C66:J66,"kaldi")&gt;0,"kaldi",IF(COUNTIF(C66:J66,"test")&gt;0,"test","gecti"))</f>
        <v>test</v>
      </c>
      <c r="L66" s="16" t="inlineStr">
        <is>
          <t>Teklif ve kapsam şablonu yaz, sözleşme taslağını hukukçuya onaylat, 20 hedef şirketin isim listesini çıkar, lisans dosyasını ekle, iş takvimini ölç.</t>
        </is>
      </c>
    </row>
    <row r="67">
      <c r="A67" s="7" t="str">
        <f>Secenekler!A67</f>
        <v>ai-first-tasarim-c</v>
      </c>
      <c r="B67" s="7" t="str">
        <f>Secenekler!C67</f>
        <v>Ajansa sabit fiyatlı form ve tablo kabul dosyası paketi</v>
      </c>
      <c r="C67" s="17" t="inlineStr">
        <is>
          <t>test</t>
        </is>
      </c>
      <c r="D67" s="17" t="inlineStr">
        <is>
          <t>test</t>
        </is>
      </c>
      <c r="E67" s="17" t="inlineStr">
        <is>
          <t>test</t>
        </is>
      </c>
      <c r="F67" s="17" t="inlineStr">
        <is>
          <t>test</t>
        </is>
      </c>
      <c r="G67" s="17" t="inlineStr">
        <is>
          <t>test</t>
        </is>
      </c>
      <c r="H67" s="17" t="inlineStr">
        <is>
          <t>test</t>
        </is>
      </c>
      <c r="I67" s="17" t="inlineStr">
        <is>
          <t>gecti</t>
        </is>
      </c>
      <c r="J67" s="17" t="inlineStr">
        <is>
          <t>gecti</t>
        </is>
      </c>
      <c r="K67" s="7" t="str">
        <f>IF(COUNTIF(C67:J67,"kaldi")&gt;0,"kaldi",IF(COUNTIF(C67:J67,"test")&gt;0,"test","gecti"))</f>
        <v>test</v>
      </c>
      <c r="L67" s="16" t="inlineStr">
        <is>
          <t>Anonim örneği ve fiyatlı teklif şablonunu hazırla, 20 hedef ajansı adlandır, sözleşmeyi hukukçuya onaylat, hesap ve fatura düzenini kur.</t>
        </is>
      </c>
    </row>
    <row r="68">
      <c r="A68" s="7" t="str">
        <f>Secenekler!A68</f>
        <v>aicommandcard-a</v>
      </c>
      <c r="B68" s="7" t="str">
        <f>Secenekler!C68</f>
        <v>QR menü ürününde AI asistan (₺999 plan katmanı)</v>
      </c>
      <c r="C68" s="17" t="inlineStr">
        <is>
          <t>test</t>
        </is>
      </c>
      <c r="D68" s="17" t="inlineStr">
        <is>
          <t>test</t>
        </is>
      </c>
      <c r="E68" s="17" t="inlineStr">
        <is>
          <t>test</t>
        </is>
      </c>
      <c r="F68" s="17" t="inlineStr">
        <is>
          <t>test</t>
        </is>
      </c>
      <c r="G68" s="17" t="inlineStr">
        <is>
          <t>gecti</t>
        </is>
      </c>
      <c r="H68" s="17" t="inlineStr">
        <is>
          <t>test</t>
        </is>
      </c>
      <c r="I68" s="17" t="inlineStr">
        <is>
          <t>gecti</t>
        </is>
      </c>
      <c r="J68" s="17" t="inlineStr">
        <is>
          <t>gecti</t>
        </is>
      </c>
      <c r="K68" s="7" t="str">
        <f>IF(COUNTIF(C68:J68,"kaldi")&gt;0,"kaldi",IF(COUNTIF(C68:J68,"test")&gt;0,"test","gecti"))</f>
        <v>test</v>
      </c>
      <c r="L68" s="16" t="inlineStr">
        <is>
          <t>Bileşenin hak ve lisans durumunu yazılı belgele; hukukçuya yorum verisi akışını onaylat; ilk iki eylemle kapsamı 120 saatte sabitle; ücretli hesapları sayıp 20 hedef alıcıyı ismen listele.</t>
        </is>
      </c>
    </row>
    <row r="69">
      <c r="A69" s="7" t="str">
        <f>Secenekler!A69</f>
        <v>aicommandcard-b</v>
      </c>
      <c r="B69" s="7" t="str">
        <f>Secenekler!C69</f>
        <v>Sabit kapsamlı AiCommandCard entegrasyon paketi</v>
      </c>
      <c r="C69" s="17" t="inlineStr">
        <is>
          <t>test</t>
        </is>
      </c>
      <c r="D69" s="17" t="inlineStr">
        <is>
          <t>gecti</t>
        </is>
      </c>
      <c r="E69" s="17" t="inlineStr">
        <is>
          <t>test</t>
        </is>
      </c>
      <c r="F69" s="17" t="inlineStr">
        <is>
          <t>test</t>
        </is>
      </c>
      <c r="G69" s="17" t="inlineStr">
        <is>
          <t>gecti</t>
        </is>
      </c>
      <c r="H69" s="17" t="inlineStr">
        <is>
          <t>test</t>
        </is>
      </c>
      <c r="I69" s="17" t="inlineStr">
        <is>
          <t>gecti</t>
        </is>
      </c>
      <c r="J69" s="17" t="inlineStr">
        <is>
          <t>gecti</t>
        </is>
      </c>
      <c r="K69" s="7" t="str">
        <f>IF(COUNTIF(C69:J69,"kaldi")&gt;0,"kaldi",IF(COUNTIF(C69:J69,"test")&gt;0,"test","gecti"))</f>
        <v>test</v>
      </c>
      <c r="L69" s="16" t="inlineStr">
        <is>
          <t>Fikri mülkiyet teyidini al; 20 hedef ajans ve ekibi ismen listele; mali müşavirle hizmet faturası yolunu doğrula; ilk 3 görüşmeyle satış döngüsünü ölç.</t>
        </is>
      </c>
    </row>
    <row r="70">
      <c r="A70" s="7" t="str">
        <f>Secenekler!A70</f>
        <v>atonota-denetim-a</v>
      </c>
      <c r="B70" s="7" t="str">
        <f>Secenekler!C70</f>
        <v>Ücretsiz puan kartı eklentisi ve Pro yıllık lisans</v>
      </c>
      <c r="C70" s="17" t="inlineStr">
        <is>
          <t>test</t>
        </is>
      </c>
      <c r="D70" s="17" t="inlineStr">
        <is>
          <t>test</t>
        </is>
      </c>
      <c r="E70" s="17" t="inlineStr">
        <is>
          <t>test</t>
        </is>
      </c>
      <c r="F70" s="17" t="inlineStr">
        <is>
          <t>test</t>
        </is>
      </c>
      <c r="G70" s="17" t="inlineStr">
        <is>
          <t>gecti</t>
        </is>
      </c>
      <c r="H70" s="17" t="inlineStr">
        <is>
          <t>test</t>
        </is>
      </c>
      <c r="I70" s="17" t="inlineStr">
        <is>
          <t>gecti</t>
        </is>
      </c>
      <c r="J70" s="17" t="inlineStr">
        <is>
          <t>gecti</t>
        </is>
      </c>
      <c r="K70" s="7" t="str">
        <f>IF(COUNTIF(C70:J70,"kaldi")&gt;0,"kaldi",IF(COUNTIF(C70:J70,"test")&gt;0,"test","gecti"))</f>
        <v>test</v>
      </c>
      <c r="L70" s="16" t="inlineStr">
        <is>
          <t>Hukukçu okuması, marka ve lisans taraması yapılır; ödeme hesabı açılıp test ödemesi alınır; 20 ajans ve KOBİ adı listelenir.</t>
        </is>
      </c>
    </row>
    <row r="71">
      <c r="A71" s="7" t="str">
        <f>Secenekler!A71</f>
        <v>atonota-denetim-b</v>
      </c>
      <c r="B71" s="7" t="str">
        <f>Secenekler!C71</f>
        <v>Ajans lisansı: 25 site için aylık müşteri sağlık raporu</v>
      </c>
      <c r="C71" s="17" t="inlineStr">
        <is>
          <t>test</t>
        </is>
      </c>
      <c r="D71" s="17" t="inlineStr">
        <is>
          <t>test</t>
        </is>
      </c>
      <c r="E71" s="17" t="inlineStr">
        <is>
          <t>test</t>
        </is>
      </c>
      <c r="F71" s="17" t="inlineStr">
        <is>
          <t>test</t>
        </is>
      </c>
      <c r="G71" s="17" t="inlineStr">
        <is>
          <t>gecti</t>
        </is>
      </c>
      <c r="H71" s="17" t="inlineStr">
        <is>
          <t>test</t>
        </is>
      </c>
      <c r="I71" s="17" t="inlineStr">
        <is>
          <t>gecti</t>
        </is>
      </c>
      <c r="J71" s="17" t="inlineStr">
        <is>
          <t>gecti</t>
        </is>
      </c>
      <c r="K71" s="7" t="str">
        <f>IF(COUNTIF(C71:J71,"kaldi")&gt;0,"kaldi",IF(COUNTIF(C71:J71,"test")&gt;0,"test","gecti"))</f>
        <v>test</v>
      </c>
      <c r="L71" s="16" t="inlineStr">
        <is>
          <t>Hukukçu okuması ve marka taraması yapılır; havale ve e-arşiv hesabı açılır; 30 ajans listesi çıkarılır.</t>
        </is>
      </c>
    </row>
    <row r="72">
      <c r="A72" s="7" t="str">
        <f>Secenekler!A72</f>
        <v>atonota-denetim-c</v>
      </c>
      <c r="B72" s="7" t="str">
        <f>Secenekler!C72</f>
        <v>Ajans için müşteri kabul ve teslim kaydı hizmeti (pilot)</v>
      </c>
      <c r="C72" s="17" t="inlineStr">
        <is>
          <t>test</t>
        </is>
      </c>
      <c r="D72" s="17" t="inlineStr">
        <is>
          <t>test</t>
        </is>
      </c>
      <c r="E72" s="17" t="inlineStr">
        <is>
          <t>test</t>
        </is>
      </c>
      <c r="F72" s="17" t="inlineStr">
        <is>
          <t>test</t>
        </is>
      </c>
      <c r="G72" s="17" t="inlineStr">
        <is>
          <t>test</t>
        </is>
      </c>
      <c r="H72" s="17" t="inlineStr">
        <is>
          <t>kaldi</t>
        </is>
      </c>
      <c r="I72" s="17" t="inlineStr">
        <is>
          <t>gecti</t>
        </is>
      </c>
      <c r="J72" s="17" t="inlineStr">
        <is>
          <t>test</t>
        </is>
      </c>
      <c r="K72" s="7" t="str">
        <f>IF(COUNTIF(C72:J72,"kaldi")&gt;0,"kaldi",IF(COUNTIF(C72:J72,"test")&gt;0,"test","gecti"))</f>
        <v>kaldi</v>
      </c>
      <c r="L72" s="16" t="inlineStr">
        <is>
          <t>Önce elle pilot ve süreli misafir bağlantısı ile 8 haftaya indir; revizyon sınırını yaz; hukukçu okuması ve ajans listesi hazırla.</t>
        </is>
      </c>
    </row>
    <row r="73">
      <c r="A73" s="7" t="str">
        <f>Secenekler!A73</f>
        <v>b2b-bilesenler-a</v>
      </c>
      <c r="B73" s="7" t="str">
        <f>Secenekler!C73</f>
        <v>Site paketine ek: ürün sayfası ve hareket blokları</v>
      </c>
      <c r="C73" s="17" t="inlineStr">
        <is>
          <t>test</t>
        </is>
      </c>
      <c r="D73" s="17" t="inlineStr">
        <is>
          <t>test</t>
        </is>
      </c>
      <c r="E73" s="17" t="inlineStr">
        <is>
          <t>gecti</t>
        </is>
      </c>
      <c r="F73" s="17" t="inlineStr">
        <is>
          <t>gecti</t>
        </is>
      </c>
      <c r="G73" s="17" t="inlineStr">
        <is>
          <t>gecti</t>
        </is>
      </c>
      <c r="H73" s="17" t="inlineStr">
        <is>
          <t>test</t>
        </is>
      </c>
      <c r="I73" s="17" t="inlineStr">
        <is>
          <t>gecti</t>
        </is>
      </c>
      <c r="J73" s="17" t="inlineStr">
        <is>
          <t>gecti</t>
        </is>
      </c>
      <c r="K73" s="7" t="str">
        <f>IF(COUNTIF(C73:J73,"kaldi")&gt;0,"kaldi",IF(COUNTIF(C73:J73,"test")&gt;0,"test","gecti"))</f>
        <v>test</v>
      </c>
      <c r="L73" s="16" t="inlineStr">
        <is>
          <t>G1: medya envanteri, yer tutucu görsel, lisansı belirsiz dosyaları dışarıda bırakmak. G2: hukukçu ve mali müşavir teyidi. G6: ilk 5 teklifte döngüyü ölç.</t>
        </is>
      </c>
    </row>
    <row r="74">
      <c r="A74" s="7" t="str">
        <f>Secenekler!A74</f>
        <v>b2b-bilesenler-b</v>
      </c>
      <c r="B74" s="7" t="str">
        <f>Secenekler!C74</f>
        <v>Tek ürün, iki mobil alıcı görünümü (sabit paket)</v>
      </c>
      <c r="C74" s="17" t="inlineStr">
        <is>
          <t>test</t>
        </is>
      </c>
      <c r="D74" s="17" t="inlineStr">
        <is>
          <t>gecti</t>
        </is>
      </c>
      <c r="E74" s="17" t="inlineStr">
        <is>
          <t>gecti</t>
        </is>
      </c>
      <c r="F74" s="17" t="inlineStr">
        <is>
          <t>test</t>
        </is>
      </c>
      <c r="G74" s="17" t="inlineStr">
        <is>
          <t>test</t>
        </is>
      </c>
      <c r="H74" s="17" t="inlineStr">
        <is>
          <t>test</t>
        </is>
      </c>
      <c r="I74" s="17" t="inlineStr">
        <is>
          <t>gecti</t>
        </is>
      </c>
      <c r="J74" s="17" t="inlineStr">
        <is>
          <t>gecti</t>
        </is>
      </c>
      <c r="K74" s="7" t="str">
        <f>IF(COUNTIF(C74:J74,"kaldi")&gt;0,"kaldi",IF(COUNTIF(C74:J74,"test")&gt;0,"test","gecti"))</f>
        <v>test</v>
      </c>
      <c r="L74" s="16" t="inlineStr">
        <is>
          <t>G1: yer tutucu medya ve envanter. G4: 20 ajans ve ekip listesi çıkar. G5: ajansa ulaşan somut dizin, grup ya da ortak adlandır. G6: ilk 10 temasta yanıt ve karar süresini ölç.</t>
        </is>
      </c>
    </row>
    <row r="75">
      <c r="A75" s="7" t="str">
        <f>Secenekler!A75</f>
        <v>b2b-bilesenler-c</v>
      </c>
      <c r="B75" s="7" t="str">
        <f>Secenekler!C75</f>
        <v>Astro ve Tailwind ürün sayfası şablonu (kod satışı)</v>
      </c>
      <c r="C75" s="17" t="inlineStr">
        <is>
          <t>test</t>
        </is>
      </c>
      <c r="D75" s="17" t="inlineStr">
        <is>
          <t>test</t>
        </is>
      </c>
      <c r="E75" s="17" t="inlineStr">
        <is>
          <t>test</t>
        </is>
      </c>
      <c r="F75" s="17" t="inlineStr">
        <is>
          <t>test</t>
        </is>
      </c>
      <c r="G75" s="17" t="inlineStr">
        <is>
          <t>gecti</t>
        </is>
      </c>
      <c r="H75" s="17" t="inlineStr">
        <is>
          <t>test</t>
        </is>
      </c>
      <c r="I75" s="17" t="inlineStr">
        <is>
          <t>gecti</t>
        </is>
      </c>
      <c r="J75" s="17" t="inlineStr">
        <is>
          <t>gecti</t>
        </is>
      </c>
      <c r="K75" s="7" t="str">
        <f>IF(COUNTIF(C75:J75,"kaldi")&gt;0,"kaldi",IF(COUNTIF(C75:J75,"test")&gt;0,"test","gecti"))</f>
        <v>test</v>
      </c>
      <c r="L75" s="16" t="inlineStr">
        <is>
          <t>G1: lisans envanteri ve yer tutucu medya. G2: mali müşavir teyidi. G3: Lemon Squeezy hesabı ve test ödemesi. G4: hedef geliştirici ve ajans listesi. G6: önce 2 paradigma ile yayınla.</t>
        </is>
      </c>
    </row>
    <row r="76">
      <c r="A76" s="7" t="str">
        <f>Secenekler!A76</f>
        <v>banner-post-a</v>
      </c>
      <c r="B76" s="7" t="str">
        <f>Secenekler!C76</f>
        <v>Zabuno içinde kampanya görseli modülü</v>
      </c>
      <c r="C76" s="17" t="inlineStr">
        <is>
          <t>test</t>
        </is>
      </c>
      <c r="D76" s="17" t="inlineStr">
        <is>
          <t>test</t>
        </is>
      </c>
      <c r="E76" s="17" t="inlineStr">
        <is>
          <t>test</t>
        </is>
      </c>
      <c r="F76" s="17" t="inlineStr">
        <is>
          <t>test</t>
        </is>
      </c>
      <c r="G76" s="17" t="inlineStr">
        <is>
          <t>gecti</t>
        </is>
      </c>
      <c r="H76" s="17" t="inlineStr">
        <is>
          <t>test</t>
        </is>
      </c>
      <c r="I76" s="17" t="inlineStr">
        <is>
          <t>gecti</t>
        </is>
      </c>
      <c r="J76" s="17" t="inlineStr">
        <is>
          <t>gecti</t>
        </is>
      </c>
      <c r="K76" s="7" t="str">
        <f>IF(COUNTIF(C76:J76,"kaldi")&gt;0,"kaldi",IF(COUNTIF(C76:J76,"test")&gt;0,"test","gecti"))</f>
        <v>test</v>
      </c>
      <c r="L76" s="16" t="inlineStr">
        <is>
          <t>20 pilot ve zincir alıcı ismen listelenmeli; Zabuno tahsilat tarihi netleşmeli; yazı tipi ve stok lisans listesi çıkarılmalı; fiyat beyanı ve KVKK metni teyit edilmeli.</t>
        </is>
      </c>
    </row>
    <row r="77">
      <c r="A77" s="7" t="str">
        <f>Secenekler!A77</f>
        <v>banner-post-b</v>
      </c>
      <c r="B77" s="7" t="str">
        <f>Secenekler!C77</f>
        <v>Sosyal görsel hizmet paketi (sabit kapsam)</v>
      </c>
      <c r="C77" s="17" t="inlineStr">
        <is>
          <t>test</t>
        </is>
      </c>
      <c r="D77" s="17" t="inlineStr">
        <is>
          <t>gecti</t>
        </is>
      </c>
      <c r="E77" s="17" t="inlineStr">
        <is>
          <t>gecti</t>
        </is>
      </c>
      <c r="F77" s="17" t="inlineStr">
        <is>
          <t>test</t>
        </is>
      </c>
      <c r="G77" s="17" t="inlineStr">
        <is>
          <t>gecti</t>
        </is>
      </c>
      <c r="H77" s="17" t="inlineStr">
        <is>
          <t>gecti</t>
        </is>
      </c>
      <c r="I77" s="17" t="inlineStr">
        <is>
          <t>gecti</t>
        </is>
      </c>
      <c r="J77" s="17" t="inlineStr">
        <is>
          <t>gecti</t>
        </is>
      </c>
      <c r="K77" s="7" t="str">
        <f>IF(COUNTIF(C77:J77,"kaldi")&gt;0,"kaldi",IF(COUNTIF(C77:J77,"test")&gt;0,"test","gecti"))</f>
        <v>test</v>
      </c>
      <c r="L77" s="16" t="inlineStr">
        <is>
          <t>Canva ticari kullanım ve stok lisansı yazılı doğrulanmalı; 20 hedef işletme listesi çıkarılmalı.</t>
        </is>
      </c>
    </row>
    <row r="78">
      <c r="A78" s="7" t="str">
        <f>Secenekler!A78</f>
        <v>banner-post-c</v>
      </c>
      <c r="B78" s="7" t="str">
        <f>Secenekler!C78</f>
        <v>Ajanslara toplu banner paketi (CSV)</v>
      </c>
      <c r="C78" s="17" t="inlineStr">
        <is>
          <t>test</t>
        </is>
      </c>
      <c r="D78" s="17" t="inlineStr">
        <is>
          <t>test</t>
        </is>
      </c>
      <c r="E78" s="17" t="inlineStr">
        <is>
          <t>test</t>
        </is>
      </c>
      <c r="F78" s="17" t="inlineStr">
        <is>
          <t>test</t>
        </is>
      </c>
      <c r="G78" s="17" t="inlineStr">
        <is>
          <t>test</t>
        </is>
      </c>
      <c r="H78" s="17" t="inlineStr">
        <is>
          <t>test</t>
        </is>
      </c>
      <c r="I78" s="17" t="inlineStr">
        <is>
          <t>gecti</t>
        </is>
      </c>
      <c r="J78" s="17" t="inlineStr">
        <is>
          <t>gecti</t>
        </is>
      </c>
      <c r="K78" s="7" t="str">
        <f>IF(COUNTIF(C78:J78,"kaldi")&gt;0,"kaldi",IF(COUNTIF(C78:J78,"test")&gt;0,"test","gecti"))</f>
        <v>test</v>
      </c>
      <c r="L78" s="16" t="inlineStr">
        <is>
          <t>Alıcı ajans listesi, lisans doğrulaması ve fiyat testi gerekir; kapsam elle teslimle sınırlı tutulmalı.</t>
        </is>
      </c>
    </row>
    <row r="79">
      <c r="A79" s="7" t="str">
        <f>Secenekler!A79</f>
        <v>karar-sihirbazi-a</v>
      </c>
      <c r="B79" s="7" t="str">
        <f>Secenekler!C79</f>
        <v>Ajanslara white-label keşif sihirbazı aboneliği</v>
      </c>
      <c r="C79" s="17" t="inlineStr">
        <is>
          <t>test</t>
        </is>
      </c>
      <c r="D79" s="17" t="inlineStr">
        <is>
          <t>test</t>
        </is>
      </c>
      <c r="E79" s="17" t="inlineStr">
        <is>
          <t>test</t>
        </is>
      </c>
      <c r="F79" s="17" t="inlineStr">
        <is>
          <t>test</t>
        </is>
      </c>
      <c r="G79" s="17" t="inlineStr">
        <is>
          <t>gecti</t>
        </is>
      </c>
      <c r="H79" s="17" t="inlineStr">
        <is>
          <t>kaldi</t>
        </is>
      </c>
      <c r="I79" s="17" t="inlineStr">
        <is>
          <t>test</t>
        </is>
      </c>
      <c r="J79" s="17" t="inlineStr">
        <is>
          <t>test</t>
        </is>
      </c>
      <c r="K79" s="7" t="str">
        <f>IF(COUNTIF(C79:J79,"kaldi")&gt;0,"kaldi",IF(COUNTIF(C79:J79,"test")&gt;0,"test","gecti"))</f>
        <v>kaldi</v>
      </c>
      <c r="L79" s="16" t="inlineStr">
        <is>
          <t>G6: statik form ve e-posta PDF'iyle başla, pilotları elle kur. G7: gider payını hesapla. G8: uyarlama kapsamını yaz. G1-G4: LICENSE, hukuk ve mali müşavir teyidi, hesap, 20 isim.</t>
        </is>
      </c>
    </row>
    <row r="80">
      <c r="A80" s="7" t="str">
        <f>Secenekler!A80</f>
        <v>karar-sihirbazi-b</v>
      </c>
      <c r="B80" s="7" t="str">
        <f>Secenekler!C80</f>
        <v>Proje başı stack karar dosyası (sabit kapsamlı hizmet)</v>
      </c>
      <c r="C80" s="17" t="inlineStr">
        <is>
          <t>gecti</t>
        </is>
      </c>
      <c r="D80" s="17" t="inlineStr">
        <is>
          <t>test</t>
        </is>
      </c>
      <c r="E80" s="17" t="inlineStr">
        <is>
          <t>test</t>
        </is>
      </c>
      <c r="F80" s="17" t="inlineStr">
        <is>
          <t>test</t>
        </is>
      </c>
      <c r="G80" s="17" t="inlineStr">
        <is>
          <t>gecti</t>
        </is>
      </c>
      <c r="H80" s="17" t="inlineStr">
        <is>
          <t>test</t>
        </is>
      </c>
      <c r="I80" s="17" t="inlineStr">
        <is>
          <t>gecti</t>
        </is>
      </c>
      <c r="J80" s="17" t="inlineStr">
        <is>
          <t>gecti</t>
        </is>
      </c>
      <c r="K80" s="7" t="str">
        <f>IF(COUNTIF(C80:J80,"kaldi")&gt;0,"kaldi",IF(COUNTIF(C80:J80,"test")&gt;0,"test","gecti"))</f>
        <v>test</v>
      </c>
      <c r="L80" s="16" t="inlineStr">
        <is>
          <t>G6: örnek karar dosyasını üretip gerçek saati ölç, ilk 10 temasla satış süresini gör. G2-G4: sözleşme şablonu ve fatura düzenini teyit ettir, hesabı aç, 20 ajans sahibinin isim listesini çıkar.</t>
        </is>
      </c>
    </row>
    <row r="81">
      <c r="A81" s="7" t="str">
        <f>Secenekler!A81</f>
        <v>karar-sihirbazi-c</v>
      </c>
      <c r="B81" s="7" t="str">
        <f>Secenekler!C81</f>
        <v>Ajans için uyarlanmış keşif formu kiti (tek seferlik)</v>
      </c>
      <c r="C81" s="17" t="inlineStr">
        <is>
          <t>test</t>
        </is>
      </c>
      <c r="D81" s="17" t="inlineStr">
        <is>
          <t>test</t>
        </is>
      </c>
      <c r="E81" s="17" t="inlineStr">
        <is>
          <t>test</t>
        </is>
      </c>
      <c r="F81" s="17" t="inlineStr">
        <is>
          <t>test</t>
        </is>
      </c>
      <c r="G81" s="17" t="inlineStr">
        <is>
          <t>gecti</t>
        </is>
      </c>
      <c r="H81" s="17" t="inlineStr">
        <is>
          <t>test</t>
        </is>
      </c>
      <c r="I81" s="17" t="inlineStr">
        <is>
          <t>gecti</t>
        </is>
      </c>
      <c r="J81" s="17" t="inlineStr">
        <is>
          <t>gecti</t>
        </is>
      </c>
      <c r="K81" s="7" t="str">
        <f>IF(COUNTIF(C81:J81,"kaldi")&gt;0,"kaldi",IF(COUNTIF(C81:J81,"test")&gt;0,"test","gecti"))</f>
        <v>test</v>
      </c>
      <c r="L81" s="16" t="inlineStr">
        <is>
          <t>G6: yalnız 2 profil ve ekranda efor özetiyle başla, kalan profilleri sonra ekle. G1-G4: LICENSE ve kit lisans metni, mali müşavir teyidi, hesap açılışı, 20 isimli liste.</t>
        </is>
      </c>
    </row>
    <row r="82">
      <c r="A82" s="7" t="str">
        <f>Secenekler!A82</f>
        <v>sunum-bi-hizmeti-a</v>
      </c>
      <c r="B82" s="7" t="str">
        <f>Secenekler!C82</f>
        <v>Katalogdan toplu markalı sunum seti (sabit paket)</v>
      </c>
      <c r="C82" s="17" t="inlineStr">
        <is>
          <t>kaldi</t>
        </is>
      </c>
      <c r="D82" s="17" t="inlineStr">
        <is>
          <t>test</t>
        </is>
      </c>
      <c r="E82" s="17" t="inlineStr">
        <is>
          <t>test</t>
        </is>
      </c>
      <c r="F82" s="17" t="inlineStr">
        <is>
          <t>test</t>
        </is>
      </c>
      <c r="G82" s="17" t="inlineStr">
        <is>
          <t>gecti</t>
        </is>
      </c>
      <c r="H82" s="17" t="inlineStr">
        <is>
          <t>test</t>
        </is>
      </c>
      <c r="I82" s="17" t="inlineStr">
        <is>
          <t>gecti</t>
        </is>
      </c>
      <c r="J82" s="17" t="inlineStr">
        <is>
          <t>gecti</t>
        </is>
      </c>
      <c r="K82" s="7" t="str">
        <f>IF(COUNTIF(C82:J82,"kaldi")&gt;0,"kaldi",IF(COUNTIF(C82:J82,"test")&gt;0,"test","gecti"))</f>
        <v>kaldi</v>
      </c>
      <c r="L82" s="16" t="inlineStr">
        <is>
          <t>Yazılı izni al ya da çekirdeği sıfırdan yaz (G1); hukuk ve muhasebe teyidi, ödeme hesabı ve test ödemesi, 20 kişilik liste, ilk 3 satışla döngü ölçümü.</t>
        </is>
      </c>
    </row>
    <row r="83">
      <c r="A83" s="7" t="str">
        <f>Secenekler!A83</f>
        <v>sunum-bi-hizmeti-b</v>
      </c>
      <c r="B83" s="7" t="str">
        <f>Secenekler!C83</f>
        <v>Butik ajanslara çok markalı sunum üretim aboneliği</v>
      </c>
      <c r="C83" s="17" t="inlineStr">
        <is>
          <t>kaldi</t>
        </is>
      </c>
      <c r="D83" s="17" t="inlineStr">
        <is>
          <t>test</t>
        </is>
      </c>
      <c r="E83" s="17" t="inlineStr">
        <is>
          <t>test</t>
        </is>
      </c>
      <c r="F83" s="17" t="inlineStr">
        <is>
          <t>test</t>
        </is>
      </c>
      <c r="G83" s="17" t="inlineStr">
        <is>
          <t>gecti</t>
        </is>
      </c>
      <c r="H83" s="17" t="inlineStr">
        <is>
          <t>test</t>
        </is>
      </c>
      <c r="I83" s="17" t="inlineStr">
        <is>
          <t>gecti</t>
        </is>
      </c>
      <c r="J83" s="17" t="inlineStr">
        <is>
          <t>test</t>
        </is>
      </c>
      <c r="K83" s="7" t="str">
        <f>IF(COUNTIF(C83:J83,"kaldi")&gt;0,"kaldi",IF(COUNTIF(C83:J83,"test")&gt;0,"test","gecti"))</f>
        <v>kaldi</v>
      </c>
      <c r="L83" s="16" t="inlineStr">
        <is>
          <t>Yazılı izin ya da sıfırdan yazım; aylık sunum ve revizyon tavanını yaz; ödeme hesabını aç; ajans isim listesi çıkar; pilotla kuruluş saatini ölç.</t>
        </is>
      </c>
    </row>
    <row r="84">
      <c r="A84" s="7" t="str">
        <f>Secenekler!A84</f>
        <v>sunum-bi-hizmeti-c</v>
      </c>
      <c r="B84" s="7" t="str">
        <f>Secenekler!C84</f>
        <v>Danışmana tek kaynaktan yönetici karar dosyası üretimi</v>
      </c>
      <c r="C84" s="17" t="inlineStr">
        <is>
          <t>kaldi</t>
        </is>
      </c>
      <c r="D84" s="17" t="inlineStr">
        <is>
          <t>test</t>
        </is>
      </c>
      <c r="E84" s="17" t="inlineStr">
        <is>
          <t>test</t>
        </is>
      </c>
      <c r="F84" s="17" t="inlineStr">
        <is>
          <t>test</t>
        </is>
      </c>
      <c r="G84" s="17" t="inlineStr">
        <is>
          <t>test</t>
        </is>
      </c>
      <c r="H84" s="17" t="inlineStr">
        <is>
          <t>test</t>
        </is>
      </c>
      <c r="I84" s="17" t="inlineStr">
        <is>
          <t>gecti</t>
        </is>
      </c>
      <c r="J84" s="17" t="inlineStr">
        <is>
          <t>gecti</t>
        </is>
      </c>
      <c r="K84" s="7" t="str">
        <f>IF(COUNTIF(C84:J84,"kaldi")&gt;0,"kaldi",IF(COUNTIF(C84:J84,"test")&gt;0,"test","gecti"))</f>
        <v>kaldi</v>
      </c>
      <c r="L84" s="16" t="inlineStr">
        <is>
          <t>Küçük çekirdeği sıfırdan yaz ya da yazılı izin al; veri gizlilik şartını sözleşmeye yaz; hesap aç; 20 danışmanlık listesi çıkar; kanalı 10 görüşmeyle sına.</t>
        </is>
      </c>
    </row>
    <row r="85">
      <c r="A85" s="7" t="str">
        <f>Secenekler!A85</f>
        <v>ik-paneli-hizmeti-a</v>
      </c>
      <c r="B85" s="7" t="str">
        <f>Secenekler!C85</f>
        <v>SaaS satış demosu 7 günde (sabit paket)</v>
      </c>
      <c r="C85" s="17" t="inlineStr">
        <is>
          <t>kaldi</t>
        </is>
      </c>
      <c r="D85" s="17" t="inlineStr">
        <is>
          <t>test</t>
        </is>
      </c>
      <c r="E85" s="17" t="inlineStr">
        <is>
          <t>test</t>
        </is>
      </c>
      <c r="F85" s="17" t="inlineStr">
        <is>
          <t>test</t>
        </is>
      </c>
      <c r="G85" s="17" t="inlineStr">
        <is>
          <t>gecti</t>
        </is>
      </c>
      <c r="H85" s="17" t="inlineStr">
        <is>
          <t>test</t>
        </is>
      </c>
      <c r="I85" s="17" t="inlineStr">
        <is>
          <t>gecti</t>
        </is>
      </c>
      <c r="J85" s="17" t="inlineStr">
        <is>
          <t>gecti</t>
        </is>
      </c>
      <c r="K85" s="7" t="str">
        <f>IF(COUNTIF(C85:J85,"kaldi")&gt;0,"kaldi",IF(COUNTIF(C85:J85,"test")&gt;0,"test","gecti"))</f>
        <v>kaldi</v>
      </c>
      <c r="L85" s="16" t="inlineStr">
        <is>
          <t>G1: yazılı muvafakat al ya da kiti ortak kod, ad ve veri olmadan sıfırdan yeniden üret. G6: ilk 3 hafta efor ölçülür. G2, G3, G4 hukukçu, hesap açılışı ve isim listesi ile geçer.</t>
        </is>
      </c>
    </row>
    <row r="86">
      <c r="A86" s="7" t="str">
        <f>Secenekler!A86</f>
        <v>ik-paneli-hizmeti-b</v>
      </c>
      <c r="B86" s="7" t="str">
        <f>Secenekler!C86</f>
        <v>Ajanslara beyaz etiket aylık demo paketi</v>
      </c>
      <c r="C86" s="17" t="inlineStr">
        <is>
          <t>kaldi</t>
        </is>
      </c>
      <c r="D86" s="17" t="inlineStr">
        <is>
          <t>test</t>
        </is>
      </c>
      <c r="E86" s="17" t="inlineStr">
        <is>
          <t>test</t>
        </is>
      </c>
      <c r="F86" s="17" t="inlineStr">
        <is>
          <t>test</t>
        </is>
      </c>
      <c r="G86" s="17" t="inlineStr">
        <is>
          <t>gecti</t>
        </is>
      </c>
      <c r="H86" s="17" t="inlineStr">
        <is>
          <t>test</t>
        </is>
      </c>
      <c r="I86" s="17" t="inlineStr">
        <is>
          <t>gecti</t>
        </is>
      </c>
      <c r="J86" s="17" t="inlineStr">
        <is>
          <t>gecti</t>
        </is>
      </c>
      <c r="K86" s="7" t="str">
        <f>IF(COUNTIF(C86:J86,"kaldi")&gt;0,"kaldi",IF(COUNTIF(C86:J86,"test")&gt;0,"test","gecti"))</f>
        <v>kaldi</v>
      </c>
      <c r="L86" s="16" t="inlineStr">
        <is>
          <t>G1 yazılı izin ya da sıfırdan kit ile çözülür. G2 hukukçu, G3 hesap açılışı, G4 ajans listesi, G6 ilk 5 ajans görüşmesinde ölçülerek test olmaktan çıkar.</t>
        </is>
      </c>
    </row>
    <row r="87">
      <c r="A87" s="7" t="str">
        <f>Secenekler!A87</f>
        <v>ik-paneli-hizmeti-c</v>
      </c>
      <c r="B87" s="7" t="str">
        <f>Secenekler!C87</f>
        <v>Puantaj mutabakatı kurulum ve dönem hizmeti</v>
      </c>
      <c r="C87" s="17" t="inlineStr">
        <is>
          <t>kaldi</t>
        </is>
      </c>
      <c r="D87" s="17" t="inlineStr">
        <is>
          <t>test</t>
        </is>
      </c>
      <c r="E87" s="17" t="inlineStr">
        <is>
          <t>test</t>
        </is>
      </c>
      <c r="F87" s="17" t="inlineStr">
        <is>
          <t>test</t>
        </is>
      </c>
      <c r="G87" s="17" t="inlineStr">
        <is>
          <t>test</t>
        </is>
      </c>
      <c r="H87" s="17" t="inlineStr">
        <is>
          <t>kaldi</t>
        </is>
      </c>
      <c r="I87" s="17" t="inlineStr">
        <is>
          <t>gecti</t>
        </is>
      </c>
      <c r="J87" s="17" t="inlineStr">
        <is>
          <t>test</t>
        </is>
      </c>
      <c r="K87" s="7" t="str">
        <f>IF(COUNTIF(C87:J87,"kaldi")&gt;0,"kaldi",IF(COUNTIF(C87:J87,"test")&gt;0,"test","gecti"))</f>
        <v>kaldi</v>
      </c>
      <c r="L87" s="16" t="inlineStr">
        <is>
          <t>G6: ilk ücretli kapsamı tek dışa aktarım biçimine ve dönem özetine indir; G1 ve G2 izin ve hukukçu ile; G5 için bir danışman ofisini adla seç.</t>
        </is>
      </c>
    </row>
    <row r="88">
      <c r="A88" s="7" t="str">
        <f>Secenekler!A88</f>
        <v>ddd-renderer-a</v>
      </c>
      <c r="B88" s="7" t="str">
        <f>Secenekler!C88</f>
        <v>E-kitap eki: 3 mimari şablonlu paket (149 ₺)</v>
      </c>
      <c r="C88" s="17" t="inlineStr">
        <is>
          <t>test</t>
        </is>
      </c>
      <c r="D88" s="17" t="inlineStr">
        <is>
          <t>test</t>
        </is>
      </c>
      <c r="E88" s="17" t="inlineStr">
        <is>
          <t>test</t>
        </is>
      </c>
      <c r="F88" s="17" t="inlineStr">
        <is>
          <t>test</t>
        </is>
      </c>
      <c r="G88" s="17" t="inlineStr">
        <is>
          <t>gecti</t>
        </is>
      </c>
      <c r="H88" s="17" t="inlineStr">
        <is>
          <t>test</t>
        </is>
      </c>
      <c r="I88" s="17" t="inlineStr">
        <is>
          <t>gecti</t>
        </is>
      </c>
      <c r="J88" s="17" t="inlineStr">
        <is>
          <t>gecti</t>
        </is>
      </c>
      <c r="K88" s="7" t="str">
        <f>IF(COUNTIF(C88:J88,"kaldi")&gt;0,"kaldi",IF(COUNTIF(C88:J88,"test")&gt;0,"test","gecti"))</f>
        <v>test</v>
      </c>
      <c r="L88" s="16" t="inlineStr">
        <is>
          <t>Kurucu lisansı seçer (onaysız seçilmez); Shopier hesabı açılıp test ödemesi yapılır; mali müşavir fatura ve cayma metnini teyit eder; e-kitap çıkış tarihi netleşir.</t>
        </is>
      </c>
    </row>
    <row r="89">
      <c r="A89" s="7" t="str">
        <f>Secenekler!A89</f>
        <v>ddd-renderer-b</v>
      </c>
      <c r="B89" s="7" t="str">
        <f>Secenekler!C89</f>
        <v>Uluslararası şablon paketleri (29-79 $) açık çekirdekle</v>
      </c>
      <c r="C89" s="17" t="inlineStr">
        <is>
          <t>test</t>
        </is>
      </c>
      <c r="D89" s="17" t="inlineStr">
        <is>
          <t>test</t>
        </is>
      </c>
      <c r="E89" s="17" t="inlineStr">
        <is>
          <t>test</t>
        </is>
      </c>
      <c r="F89" s="17" t="inlineStr">
        <is>
          <t>test</t>
        </is>
      </c>
      <c r="G89" s="17" t="inlineStr">
        <is>
          <t>gecti</t>
        </is>
      </c>
      <c r="H89" s="17" t="inlineStr">
        <is>
          <t>test</t>
        </is>
      </c>
      <c r="I89" s="17" t="inlineStr">
        <is>
          <t>gecti</t>
        </is>
      </c>
      <c r="J89" s="17" t="inlineStr">
        <is>
          <t>gecti</t>
        </is>
      </c>
      <c r="K89" s="7" t="str">
        <f>IF(COUNTIF(C89:J89,"kaldi")&gt;0,"kaldi",IF(COUNTIF(C89:J89,"test")&gt;0,"test","gecti"))</f>
        <v>test</v>
      </c>
      <c r="L89" s="16" t="inlineStr">
        <is>
          <t>Kurucu lisansı seçer; MoR hesabı açılıp test ödemesi yapılır; mali müşavir yurt dışı satış faturasını teyit eder; 20 hedef alıcı adı listelenir.</t>
        </is>
      </c>
    </row>
    <row r="90">
      <c r="A90" s="7" t="str">
        <f>Secenekler!A90</f>
        <v>ddd-renderer-c</v>
      </c>
      <c r="B90" s="7" t="str">
        <f>Secenekler!C90</f>
        <v>3 günlük sabit kapsamlı mimari değerlendirme hizmeti</v>
      </c>
      <c r="C90" s="17" t="inlineStr">
        <is>
          <t>test</t>
        </is>
      </c>
      <c r="D90" s="17" t="inlineStr">
        <is>
          <t>test</t>
        </is>
      </c>
      <c r="E90" s="17" t="inlineStr">
        <is>
          <t>test</t>
        </is>
      </c>
      <c r="F90" s="17" t="inlineStr">
        <is>
          <t>test</t>
        </is>
      </c>
      <c r="G90" s="17" t="inlineStr">
        <is>
          <t>gecti</t>
        </is>
      </c>
      <c r="H90" s="17" t="inlineStr">
        <is>
          <t>test</t>
        </is>
      </c>
      <c r="I90" s="17" t="inlineStr">
        <is>
          <t>gecti</t>
        </is>
      </c>
      <c r="J90" s="17" t="inlineStr">
        <is>
          <t>gecti</t>
        </is>
      </c>
      <c r="K90" s="7" t="str">
        <f>IF(COUNTIF(C90:J90,"kaldi")&gt;0,"kaldi",IF(COUNTIF(C90:J90,"test")&gt;0,"test","gecti"))</f>
        <v>test</v>
      </c>
      <c r="L90" s="16" t="inlineStr">
        <is>
          <t>Mali müşavir e-Arşiv fatura düzenini teyit eder; hukukçu gizlilik sözleşmesini ve KVKK metnini teyit eder; kurucu lisansı seçer; 20 hedef alıcı listelenir; satın alma süresi ölçülür.</t>
        </is>
      </c>
    </row>
    <row r="91">
      <c r="A91" s="7" t="str">
        <f>Secenekler!A91</f>
        <v>devpanel-a</v>
      </c>
      <c r="B91" s="7" t="str">
        <f>Secenekler!C91</f>
        <v>3 günlük onay, denetim ve yetki entegrasyon paketi</v>
      </c>
      <c r="C91" s="17" t="inlineStr">
        <is>
          <t>test</t>
        </is>
      </c>
      <c r="D91" s="17" t="inlineStr">
        <is>
          <t>gecti</t>
        </is>
      </c>
      <c r="E91" s="17" t="inlineStr">
        <is>
          <t>test</t>
        </is>
      </c>
      <c r="F91" s="17" t="inlineStr">
        <is>
          <t>test</t>
        </is>
      </c>
      <c r="G91" s="17" t="inlineStr">
        <is>
          <t>gecti</t>
        </is>
      </c>
      <c r="H91" s="17" t="inlineStr">
        <is>
          <t>test</t>
        </is>
      </c>
      <c r="I91" s="17" t="inlineStr">
        <is>
          <t>gecti</t>
        </is>
      </c>
      <c r="J91" s="17" t="inlineStr">
        <is>
          <t>test</t>
        </is>
      </c>
      <c r="K91" s="7" t="str">
        <f>IF(COUNTIF(C91:J91,"kaldi")&gt;0,"kaldi",IF(COUNTIF(C91:J91,"test")&gt;0,"test","gecti"))</f>
        <v>test</v>
      </c>
      <c r="L91" s="16" t="inlineStr">
        <is>
          <t>MIT lisansı kurucu onayıyla eklenir, bağımlılıklar taranır; hesap ve fatura düzeni teyit edilir; 20 isim listesi çıkarılır; kapsam yalnız React 19 yazılır; satış döngüsü ölçülür.</t>
        </is>
      </c>
    </row>
    <row r="92">
      <c r="A92" s="7" t="str">
        <f>Secenekler!A92</f>
        <v>devpanel-b</v>
      </c>
      <c r="B92" s="7" t="str">
        <f>Secenekler!C92</f>
        <v>20 alanlı form şemasından JSON ve React dışa aktarım işi</v>
      </c>
      <c r="C92" s="17" t="inlineStr">
        <is>
          <t>test</t>
        </is>
      </c>
      <c r="D92" s="17" t="inlineStr">
        <is>
          <t>gecti</t>
        </is>
      </c>
      <c r="E92" s="17" t="inlineStr">
        <is>
          <t>test</t>
        </is>
      </c>
      <c r="F92" s="17" t="inlineStr">
        <is>
          <t>test</t>
        </is>
      </c>
      <c r="G92" s="17" t="inlineStr">
        <is>
          <t>test</t>
        </is>
      </c>
      <c r="H92" s="17" t="inlineStr">
        <is>
          <t>test</t>
        </is>
      </c>
      <c r="I92" s="17" t="inlineStr">
        <is>
          <t>gecti</t>
        </is>
      </c>
      <c r="J92" s="17" t="inlineStr">
        <is>
          <t>test</t>
        </is>
      </c>
      <c r="K92" s="7" t="str">
        <f>IF(COUNTIF(C92:J92,"kaldi")&gt;0,"kaldi",IF(COUNTIF(C92:J92,"test")&gt;0,"test","gecti"))</f>
        <v>test</v>
      </c>
      <c r="L92" s="16" t="inlineStr">
        <is>
          <t>Hak sahipliği ve lisans taraması yapılır; hesap ve fatura düzeni kurulur; hedef depo ve ajans listesi çıkarılır; dışa aktarıcı 20 alanlı örnekte çalıştırılıp süre ölçülür; kapsam yazılır.</t>
        </is>
      </c>
    </row>
    <row r="93">
      <c r="A93" s="7" t="str">
        <f>Secenekler!A93</f>
        <v>devpanel-c</v>
      </c>
      <c r="B93" s="7" t="str">
        <f>Secenekler!C93</f>
        <v>Yönetim paneli şablonu, 49 $ lisans</v>
      </c>
      <c r="C93" s="17" t="inlineStr">
        <is>
          <t>test</t>
        </is>
      </c>
      <c r="D93" s="17" t="inlineStr">
        <is>
          <t>test</t>
        </is>
      </c>
      <c r="E93" s="17" t="inlineStr">
        <is>
          <t>test</t>
        </is>
      </c>
      <c r="F93" s="17" t="inlineStr">
        <is>
          <t>test</t>
        </is>
      </c>
      <c r="G93" s="17" t="inlineStr">
        <is>
          <t>gecti</t>
        </is>
      </c>
      <c r="H93" s="17" t="inlineStr">
        <is>
          <t>test</t>
        </is>
      </c>
      <c r="I93" s="17" t="inlineStr">
        <is>
          <t>gecti</t>
        </is>
      </c>
      <c r="J93" s="17" t="inlineStr">
        <is>
          <t>gecti</t>
        </is>
      </c>
      <c r="K93" s="7" t="str">
        <f>IF(COUNTIF(C93:J93,"kaldi")&gt;0,"kaldi",IF(COUNTIF(C93:J93,"test")&gt;0,"test","gecti"))</f>
        <v>test</v>
      </c>
      <c r="L93" s="16" t="inlineStr">
        <is>
          <t>Varyant adları temizlenir, lisans ve bağımlılık taraması yapılır; mağaza hesabı açılıp test ödemesi yapılır; vergi teyidi alınır. Başabaş 78 satış, bu pencerede ulaşılmaz.</t>
        </is>
      </c>
    </row>
    <row r="94">
      <c r="A94" s="7" t="str">
        <f>Secenekler!A94</f>
        <v>e-menum-a</v>
      </c>
      <c r="B94" s="7" t="str">
        <f>Secenekler!C94</f>
        <v>Tek kiracılı white-label kurulum paketi</v>
      </c>
      <c r="C94" s="17" t="inlineStr">
        <is>
          <t>test</t>
        </is>
      </c>
      <c r="D94" s="17" t="inlineStr">
        <is>
          <t>test</t>
        </is>
      </c>
      <c r="E94" s="17" t="inlineStr">
        <is>
          <t>test</t>
        </is>
      </c>
      <c r="F94" s="17" t="inlineStr">
        <is>
          <t>test</t>
        </is>
      </c>
      <c r="G94" s="17" t="inlineStr">
        <is>
          <t>gecti</t>
        </is>
      </c>
      <c r="H94" s="17" t="inlineStr">
        <is>
          <t>gecti</t>
        </is>
      </c>
      <c r="I94" s="17" t="inlineStr">
        <is>
          <t>gecti</t>
        </is>
      </c>
      <c r="J94" s="17" t="inlineStr">
        <is>
          <t>test</t>
        </is>
      </c>
      <c r="K94" s="7" t="str">
        <f>IF(COUNTIF(C94:J94,"kaldi")&gt;0,"kaldi",IF(COUNTIF(C94:J94,"test")&gt;0,"test","gecti"))</f>
        <v>test</v>
      </c>
      <c r="L94" s="16" t="inlineStr">
        <is>
          <t>Bağımlılık lisans taramasını yap; hukukçudan sözleşme ve KVKK teyidi al; hesabı aç; 20 isim listesini çıkar; sabit kapsam belgesi yaz. Hepsi 2-3 haftada kapanabilir.</t>
        </is>
      </c>
    </row>
    <row r="95">
      <c r="A95" s="7" t="str">
        <f>Secenekler!A95</f>
        <v>e-menum-b</v>
      </c>
      <c r="B95" s="7" t="str">
        <f>Secenekler!C95</f>
        <v>Çok şubeli markaya yönetilen menü güncelleme hizmeti</v>
      </c>
      <c r="C95" s="17" t="inlineStr">
        <is>
          <t>test</t>
        </is>
      </c>
      <c r="D95" s="17" t="inlineStr">
        <is>
          <t>test</t>
        </is>
      </c>
      <c r="E95" s="17" t="inlineStr">
        <is>
          <t>test</t>
        </is>
      </c>
      <c r="F95" s="17" t="inlineStr">
        <is>
          <t>test</t>
        </is>
      </c>
      <c r="G95" s="17" t="inlineStr">
        <is>
          <t>test</t>
        </is>
      </c>
      <c r="H95" s="17" t="inlineStr">
        <is>
          <t>test</t>
        </is>
      </c>
      <c r="I95" s="17" t="inlineStr">
        <is>
          <t>gecti</t>
        </is>
      </c>
      <c r="J95" s="17" t="inlineStr">
        <is>
          <t>test</t>
        </is>
      </c>
      <c r="K95" s="7" t="str">
        <f>IF(COUNTIF(C95:J95,"kaldi")&gt;0,"kaldi",IF(COUNTIF(C95:J95,"test")&gt;0,"test","gecti"))</f>
        <v>test</v>
      </c>
      <c r="L95" s="16" t="inlineStr">
        <is>
          <t>Lisans taramasını ve hesap açılışını yap; sözleşmeye alerjen sorumluluk sınırını ve aylık destek tavanını yaz; 20 marka listesini çıkar; elle akışın saatini iki pilotta ölç.</t>
        </is>
      </c>
    </row>
    <row r="96">
      <c r="A96" s="7" t="str">
        <f>Secenekler!A96</f>
        <v>e-menum-c</v>
      </c>
      <c r="B96" s="7" t="str">
        <f>Secenekler!C96</f>
        <v>Kaynak kod ve belge paketi (depo ve topluluk)</v>
      </c>
      <c r="C96" s="17" t="inlineStr">
        <is>
          <t>test</t>
        </is>
      </c>
      <c r="D96" s="17" t="inlineStr">
        <is>
          <t>test</t>
        </is>
      </c>
      <c r="E96" s="17" t="inlineStr">
        <is>
          <t>test</t>
        </is>
      </c>
      <c r="F96" s="17" t="inlineStr">
        <is>
          <t>test</t>
        </is>
      </c>
      <c r="G96" s="17" t="inlineStr">
        <is>
          <t>gecti</t>
        </is>
      </c>
      <c r="H96" s="17" t="inlineStr">
        <is>
          <t>gecti</t>
        </is>
      </c>
      <c r="I96" s="17" t="inlineStr">
        <is>
          <t>gecti</t>
        </is>
      </c>
      <c r="J96" s="17" t="inlineStr">
        <is>
          <t>gecti</t>
        </is>
      </c>
      <c r="K96" s="7" t="str">
        <f>IF(COUNTIF(C96:J96,"kaldi")&gt;0,"kaldi",IF(COUNTIF(C96:J96,"test")&gt;0,"test","gecti"))</f>
        <v>test</v>
      </c>
      <c r="L96" s="16" t="inlineStr">
        <is>
          <t>Lisans taramasını yap, tahsilat hesabı ve fatura düzenini mali müşavirle kur, yeniden satış yasağını lisans metnine yaz.</t>
        </is>
      </c>
    </row>
    <row r="97">
      <c r="A97" s="7" t="str">
        <f>Secenekler!A97</f>
        <v>eklenti-firsat-panosu-a</v>
      </c>
      <c r="B97" s="7" t="str">
        <f>Secenekler!C97</f>
        <v>Bülten Pro: aylık eklenti fırsat bülteni</v>
      </c>
      <c r="C97" s="17" t="inlineStr">
        <is>
          <t>test</t>
        </is>
      </c>
      <c r="D97" s="17" t="inlineStr">
        <is>
          <t>test</t>
        </is>
      </c>
      <c r="E97" s="17" t="inlineStr">
        <is>
          <t>test</t>
        </is>
      </c>
      <c r="F97" s="17" t="inlineStr">
        <is>
          <t>test</t>
        </is>
      </c>
      <c r="G97" s="17" t="inlineStr">
        <is>
          <t>gecti</t>
        </is>
      </c>
      <c r="H97" s="17" t="inlineStr">
        <is>
          <t>test</t>
        </is>
      </c>
      <c r="I97" s="17" t="inlineStr">
        <is>
          <t>gecti</t>
        </is>
      </c>
      <c r="J97" s="17" t="inlineStr">
        <is>
          <t>test</t>
        </is>
      </c>
      <c r="K97" s="7" t="str">
        <f>IF(COUNTIF(C97:J97,"kaldi")&gt;0,"kaldi",IF(COUNTIF(C97:J97,"test")&gt;0,"test","gecti"))</f>
        <v>test</v>
      </c>
      <c r="L97" s="16" t="inlineStr">
        <is>
          <t>G1: kaynak etiketi ve lisans seçimi (kurucu onayıyla). G2: hukukçu teyidi. G3: hesap, test ödemesi. G4: 20 kişilik liste. G6: haftalık takvim. G8: ekosistem isteği sayısını yazılı sınırla.</t>
        </is>
      </c>
    </row>
    <row r="98">
      <c r="A98" s="7" t="str">
        <f>Secenekler!A98</f>
        <v>eklenti-firsat-panosu-b</v>
      </c>
      <c r="B98" s="7" t="str">
        <f>Secenekler!C98</f>
        <v>Keşif Paketi: tek seferlik eklenti fırsat seti</v>
      </c>
      <c r="C98" s="17" t="inlineStr">
        <is>
          <t>test</t>
        </is>
      </c>
      <c r="D98" s="17" t="inlineStr">
        <is>
          <t>test</t>
        </is>
      </c>
      <c r="E98" s="17" t="inlineStr">
        <is>
          <t>test</t>
        </is>
      </c>
      <c r="F98" s="17" t="inlineStr">
        <is>
          <t>test</t>
        </is>
      </c>
      <c r="G98" s="17" t="inlineStr">
        <is>
          <t>gecti</t>
        </is>
      </c>
      <c r="H98" s="17" t="inlineStr">
        <is>
          <t>gecti</t>
        </is>
      </c>
      <c r="I98" s="17" t="inlineStr">
        <is>
          <t>gecti</t>
        </is>
      </c>
      <c r="J98" s="17" t="inlineStr">
        <is>
          <t>gecti</t>
        </is>
      </c>
      <c r="K98" s="7" t="str">
        <f>IF(COUNTIF(C98:J98,"kaldi")&gt;0,"kaldi",IF(COUNTIF(C98:J98,"test")&gt;0,"test","gecti"))</f>
        <v>test</v>
      </c>
      <c r="L98" s="16" t="inlineStr">
        <is>
          <t>G1: kaynak etiketi ve lisans onayı. G2: mali müşavir teyidi. G3: hesap açıp test ödemesi. G4: 20 kişilik isim listesi.</t>
        </is>
      </c>
    </row>
    <row r="99">
      <c r="A99" s="7" t="str">
        <f>Secenekler!A99</f>
        <v>eklenti-firsat-panosu-c</v>
      </c>
      <c r="B99" s="7" t="str">
        <f>Secenekler!C99</f>
        <v>Ajans lisansı: ürün hattı fırsat paketi</v>
      </c>
      <c r="C99" s="17" t="inlineStr">
        <is>
          <t>test</t>
        </is>
      </c>
      <c r="D99" s="17" t="inlineStr">
        <is>
          <t>test</t>
        </is>
      </c>
      <c r="E99" s="17" t="inlineStr">
        <is>
          <t>test</t>
        </is>
      </c>
      <c r="F99" s="17" t="inlineStr">
        <is>
          <t>test</t>
        </is>
      </c>
      <c r="G99" s="17" t="inlineStr">
        <is>
          <t>gecti</t>
        </is>
      </c>
      <c r="H99" s="17" t="inlineStr">
        <is>
          <t>test</t>
        </is>
      </c>
      <c r="I99" s="17" t="inlineStr">
        <is>
          <t>gecti</t>
        </is>
      </c>
      <c r="J99" s="17" t="inlineStr">
        <is>
          <t>test</t>
        </is>
      </c>
      <c r="K99" s="7" t="str">
        <f>IF(COUNTIF(C99:J99,"kaldi")&gt;0,"kaldi",IF(COUNTIF(C99:J99,"test")&gt;0,"test","gecti"))</f>
        <v>test</v>
      </c>
      <c r="L99" s="16" t="inlineStr">
        <is>
          <t>G1 ve G2: kaynak ve sözleşme teyidi. G3: hesap, test ödemesi. G4: 20 ajans listesi. G6: 10 görüşmeyle döngüyü ölç. G8: görüşmeyi 3 fikir ve 1 saatle yazılı sınırla.</t>
        </is>
      </c>
    </row>
    <row r="100">
      <c r="A100" s="7" t="str">
        <f>Secenekler!A100</f>
        <v>cok-dilli-arayuz-a</v>
      </c>
      <c r="B100" s="7" t="str">
        <f>Secenekler!C100</f>
        <v>Çok dilli site denetimi: sabit fiyatlı paket</v>
      </c>
      <c r="C100" s="17" t="inlineStr">
        <is>
          <t>gecti</t>
        </is>
      </c>
      <c r="D100" s="17" t="inlineStr">
        <is>
          <t>test</t>
        </is>
      </c>
      <c r="E100" s="17" t="inlineStr">
        <is>
          <t>gecti</t>
        </is>
      </c>
      <c r="F100" s="17" t="inlineStr">
        <is>
          <t>test</t>
        </is>
      </c>
      <c r="G100" s="17" t="inlineStr">
        <is>
          <t>gecti</t>
        </is>
      </c>
      <c r="H100" s="17" t="inlineStr">
        <is>
          <t>test</t>
        </is>
      </c>
      <c r="I100" s="17" t="inlineStr">
        <is>
          <t>gecti</t>
        </is>
      </c>
      <c r="J100" s="17" t="inlineStr">
        <is>
          <t>gecti</t>
        </is>
      </c>
      <c r="K100" s="7" t="str">
        <f>IF(COUNTIF(C100:J100,"kaldi")&gt;0,"kaldi",IF(COUNTIF(C100:J100,"test")&gt;0,"test","gecti"))</f>
        <v>test</v>
      </c>
      <c r="L100" s="16" t="inlineStr">
        <is>
          <t>G2: sorumluluk reddi ve gizlilik maddeli sözleşme şablonunu hukukçuya okut. G4: 20 hedef alıcıyı isim listesine yaz. G6: 3 teklifle satış döngüsünü ölç.</t>
        </is>
      </c>
    </row>
    <row r="101">
      <c r="A101" s="7" t="str">
        <f>Secenekler!A101</f>
        <v>cok-dilli-arayuz-b</v>
      </c>
      <c r="B101" s="7" t="str">
        <f>Secenekler!C101</f>
        <v>Kontrol listesi PDF ve ücretsiz Atlas modülü</v>
      </c>
      <c r="C101" s="17" t="inlineStr">
        <is>
          <t>test</t>
        </is>
      </c>
      <c r="D101" s="17" t="inlineStr">
        <is>
          <t>test</t>
        </is>
      </c>
      <c r="E101" s="17" t="inlineStr">
        <is>
          <t>test</t>
        </is>
      </c>
      <c r="F101" s="17" t="inlineStr">
        <is>
          <t>test</t>
        </is>
      </c>
      <c r="G101" s="17" t="inlineStr">
        <is>
          <t>gecti</t>
        </is>
      </c>
      <c r="H101" s="17" t="inlineStr">
        <is>
          <t>test</t>
        </is>
      </c>
      <c r="I101" s="17" t="inlineStr">
        <is>
          <t>gecti</t>
        </is>
      </c>
      <c r="J101" s="17" t="inlineStr">
        <is>
          <t>gecti</t>
        </is>
      </c>
      <c r="K101" s="7" t="str">
        <f>IF(COUNTIF(C101:J101,"kaldi")&gt;0,"kaldi",IF(COUNTIF(C101:J101,"test")&gt;0,"test","gecti"))</f>
        <v>test</v>
      </c>
      <c r="L101" s="16" t="inlineStr">
        <is>
          <t>G1: 20 kaynağı doğrula, doğrulanamayanı sil. G2: satış sayfası metnini hukukçu ve mali müşavire okut. G3: Shopier hesabını aç, test ödemesi yap. G4/G6: trafik ve ilk 4 dersle ölç.</t>
        </is>
      </c>
    </row>
    <row r="102">
      <c r="A102" s="7" t="str">
        <f>Secenekler!A102</f>
        <v>cok-dilli-arayuz-c</v>
      </c>
      <c r="B102" s="7" t="str">
        <f>Secenekler!C102</f>
        <v>SaaS ekibine ücretli pilot: yerelleştirme QA kapısı</v>
      </c>
      <c r="C102" s="17" t="inlineStr">
        <is>
          <t>test</t>
        </is>
      </c>
      <c r="D102" s="17" t="inlineStr">
        <is>
          <t>test</t>
        </is>
      </c>
      <c r="E102" s="17" t="inlineStr">
        <is>
          <t>gecti</t>
        </is>
      </c>
      <c r="F102" s="17" t="inlineStr">
        <is>
          <t>test</t>
        </is>
      </c>
      <c r="G102" s="17" t="inlineStr">
        <is>
          <t>test</t>
        </is>
      </c>
      <c r="H102" s="17" t="inlineStr">
        <is>
          <t>test</t>
        </is>
      </c>
      <c r="I102" s="17" t="inlineStr">
        <is>
          <t>gecti</t>
        </is>
      </c>
      <c r="J102" s="17" t="inlineStr">
        <is>
          <t>test</t>
        </is>
      </c>
      <c r="K102" s="7" t="str">
        <f>IF(COUNTIF(C102:J102,"kaldi")&gt;0,"kaldi",IF(COUNTIF(C102:J102,"test")&gt;0,"test","gecti"))</f>
        <v>test</v>
      </c>
      <c r="L102" s="16" t="inlineStr">
        <is>
          <t>G4/G5: 20 ekibi ve 3 topluluğu isimle yaz. G6/G8: pilotu tek React ya da Storybook akışıyla sınırla, kapsamı yazılı yap. G1/G2: lisansı ve sözleşmeyi onayla.</t>
        </is>
      </c>
    </row>
    <row r="103">
      <c r="A103" s="7" t="str">
        <f>Secenekler!A103</f>
        <v>b2b-pazar-yeri-hizmeti-a</v>
      </c>
      <c r="B103" s="7" t="str">
        <f>Secenekler!C103</f>
        <v>Soğuk başlangıç teşhis paketi (2 hafta)</v>
      </c>
      <c r="C103" s="17" t="inlineStr">
        <is>
          <t>kaldi</t>
        </is>
      </c>
      <c r="D103" s="17" t="inlineStr">
        <is>
          <t>test</t>
        </is>
      </c>
      <c r="E103" s="17" t="inlineStr">
        <is>
          <t>test</t>
        </is>
      </c>
      <c r="F103" s="17" t="inlineStr">
        <is>
          <t>test</t>
        </is>
      </c>
      <c r="G103" s="17" t="inlineStr">
        <is>
          <t>gecti</t>
        </is>
      </c>
      <c r="H103" s="17" t="inlineStr">
        <is>
          <t>test</t>
        </is>
      </c>
      <c r="I103" s="17" t="inlineStr">
        <is>
          <t>test</t>
        </is>
      </c>
      <c r="J103" s="17" t="inlineStr">
        <is>
          <t>gecti</t>
        </is>
      </c>
      <c r="K103" s="7" t="str">
        <f>IF(COUNTIF(C103:J103,"kaldi")&gt;0,"kaldi",IF(COUNTIF(C103:J103,"test")&gt;0,"test","gecti"))</f>
        <v>kaldi</v>
      </c>
      <c r="L103" s="16" t="inlineStr">
        <is>
          <t>G1: yazılı izin ya da sıfırdan markasız yazım. G2-G3: hukukçu, mali müşavir, fatura düzeni. G4: 30 isim listesi. G6: döngüyü ilk 6 görüşmede ölç. G7: sabit gideri ilk tahsilata dek kıs.</t>
        </is>
      </c>
    </row>
    <row r="104">
      <c r="A104" s="7" t="str">
        <f>Secenekler!A104</f>
        <v>b2b-pazar-yeri-hizmeti-b</v>
      </c>
      <c r="B104" s="7" t="str">
        <f>Secenekler!C104</f>
        <v>Tek kategori talep ve teklif doğrulama raporu</v>
      </c>
      <c r="C104" s="17" t="inlineStr">
        <is>
          <t>kaldi</t>
        </is>
      </c>
      <c r="D104" s="17" t="inlineStr">
        <is>
          <t>test</t>
        </is>
      </c>
      <c r="E104" s="17" t="inlineStr">
        <is>
          <t>test</t>
        </is>
      </c>
      <c r="F104" s="17" t="inlineStr">
        <is>
          <t>test</t>
        </is>
      </c>
      <c r="G104" s="17" t="inlineStr">
        <is>
          <t>test</t>
        </is>
      </c>
      <c r="H104" s="17" t="inlineStr">
        <is>
          <t>gecti</t>
        </is>
      </c>
      <c r="I104" s="17" t="inlineStr">
        <is>
          <t>gecti</t>
        </is>
      </c>
      <c r="J104" s="17" t="inlineStr">
        <is>
          <t>gecti</t>
        </is>
      </c>
      <c r="K104" s="7" t="str">
        <f>IF(COUNTIF(C104:J104,"kaldi")&gt;0,"kaldi",IF(COUNTIF(C104:J104,"test")&gt;0,"test","gecti"))</f>
        <v>kaldi</v>
      </c>
      <c r="L104" s="16" t="inlineStr">
        <is>
          <t>G1: yazılı izin al ya da rapor şablonunu sıfırdan yaz. G2-G3: hukukçu ve fatura düzeni. G4: 20 isim çıkar. G5: 3 kuluçka merkezine ulaş, varlıklarını doğrula.</t>
        </is>
      </c>
    </row>
    <row r="105">
      <c r="A105" s="7" t="str">
        <f>Secenekler!A105</f>
        <v>b2b-pazar-yeri-hizmeti-c</v>
      </c>
      <c r="B105" s="7" t="str">
        <f>Secenekler!C105</f>
        <v>Tam paket: strateji, ekran seti, backlog ve 90 gün koçluk</v>
      </c>
      <c r="C105" s="17" t="inlineStr">
        <is>
          <t>kaldi</t>
        </is>
      </c>
      <c r="D105" s="17" t="inlineStr">
        <is>
          <t>test</t>
        </is>
      </c>
      <c r="E105" s="17" t="inlineStr">
        <is>
          <t>test</t>
        </is>
      </c>
      <c r="F105" s="17" t="inlineStr">
        <is>
          <t>test</t>
        </is>
      </c>
      <c r="G105" s="17" t="inlineStr">
        <is>
          <t>test</t>
        </is>
      </c>
      <c r="H105" s="17" t="inlineStr">
        <is>
          <t>test</t>
        </is>
      </c>
      <c r="I105" s="17" t="inlineStr">
        <is>
          <t>test</t>
        </is>
      </c>
      <c r="J105" s="17" t="inlineStr">
        <is>
          <t>test</t>
        </is>
      </c>
      <c r="K105" s="7" t="str">
        <f>IF(COUNTIF(C105:J105,"kaldi")&gt;0,"kaldi",IF(COUNTIF(C105:J105,"test")&gt;0,"test","gecti"))</f>
        <v>kaldi</v>
      </c>
      <c r="L105" s="16" t="inlineStr">
        <is>
          <t>G1: yazılı izin ya da sıfırdan set. G2-G3: hukuk ve fatura. G4: isim listesi. G5: 10 ajansı adlandır. G6: dar ilk kapsam ya da teşhisle başla. G7: sabit gideri kıs. G8: kapsam sınırını sözleşmeye yaz.</t>
        </is>
      </c>
    </row>
    <row r="106">
      <c r="A106" s="7" t="str">
        <f>Secenekler!A106</f>
        <v>lifeos-a</v>
      </c>
      <c r="B106" s="7" t="str">
        <f>Secenekler!C106</f>
        <v>Günün Framework'ü: ücretsiz yan panel ve çalışma kâğıdı paketi</v>
      </c>
      <c r="C106" s="17" t="inlineStr">
        <is>
          <t>test</t>
        </is>
      </c>
      <c r="D106" s="17" t="inlineStr">
        <is>
          <t>test</t>
        </is>
      </c>
      <c r="E106" s="17" t="inlineStr">
        <is>
          <t>test</t>
        </is>
      </c>
      <c r="F106" s="17" t="inlineStr">
        <is>
          <t>test</t>
        </is>
      </c>
      <c r="G106" s="17" t="inlineStr">
        <is>
          <t>gecti</t>
        </is>
      </c>
      <c r="H106" s="17" t="inlineStr">
        <is>
          <t>test</t>
        </is>
      </c>
      <c r="I106" s="17" t="inlineStr">
        <is>
          <t>gecti</t>
        </is>
      </c>
      <c r="J106" s="17" t="inlineStr">
        <is>
          <t>gecti</t>
        </is>
      </c>
      <c r="K106" s="7" t="str">
        <f>IF(COUNTIF(C106:J106,"kaldi")&gt;0,"kaldi",IF(COUNTIF(C106:J106,"test")&gt;0,"test","gecti"))</f>
        <v>test</v>
      </c>
      <c r="L106" s="16" t="inlineStr">
        <is>
          <t>Önce hak gözden geçirmesi ve hukukçu okuması bitirilir (G1, G2); Shopier hesabı açılıp test ödeme yapılır (G3); 20 kişilik isim listesi yazılır (G4); temizlik süresi tek sayıya indirilir (G6).</t>
        </is>
      </c>
    </row>
    <row r="107">
      <c r="A107" s="7" t="str">
        <f>Secenekler!A107</f>
        <v>lifeos-b</v>
      </c>
      <c r="B107" s="7" t="str">
        <f>Secenekler!C107</f>
        <v>Freelancer haftalık çalışma kaydı: yerel CSV ve kurulum paketi</v>
      </c>
      <c r="C107" s="17" t="inlineStr">
        <is>
          <t>test</t>
        </is>
      </c>
      <c r="D107" s="17" t="inlineStr">
        <is>
          <t>test</t>
        </is>
      </c>
      <c r="E107" s="17" t="inlineStr">
        <is>
          <t>test</t>
        </is>
      </c>
      <c r="F107" s="17" t="inlineStr">
        <is>
          <t>test</t>
        </is>
      </c>
      <c r="G107" s="17" t="inlineStr">
        <is>
          <t>test</t>
        </is>
      </c>
      <c r="H107" s="17" t="inlineStr">
        <is>
          <t>test</t>
        </is>
      </c>
      <c r="I107" s="17" t="inlineStr">
        <is>
          <t>gecti</t>
        </is>
      </c>
      <c r="J107" s="17" t="inlineStr">
        <is>
          <t>test</t>
        </is>
      </c>
      <c r="K107" s="7" t="str">
        <f>IF(COUNTIF(C107:J107,"kaldi")&gt;0,"kaldi",IF(COUNTIF(C107:J107,"test")&gt;0,"test","gecti"))</f>
        <v>test</v>
      </c>
      <c r="L107" s="16" t="inlineStr">
        <is>
          <t>Hak ve lisans taraması yap; paket kapsamını ve fiyatını yazılı sabitle (G8); gizlilik metni ve hukukçu okuması al (G2); ödeme hesabı aç (G3); 20 kişilik freelancer listesi çıkar (G4, G5).</t>
        </is>
      </c>
    </row>
    <row r="108">
      <c r="A108" s="7" t="str">
        <f>Secenekler!A108</f>
        <v>lifeos-c</v>
      </c>
      <c r="B108" s="7" t="str">
        <f>Secenekler!C108</f>
        <v>Tek rutin yeni sekme şablonu: açık çekirdek ve ücretli kit</v>
      </c>
      <c r="C108" s="17" t="inlineStr">
        <is>
          <t>test</t>
        </is>
      </c>
      <c r="D108" s="17" t="inlineStr">
        <is>
          <t>test</t>
        </is>
      </c>
      <c r="E108" s="17" t="inlineStr">
        <is>
          <t>test</t>
        </is>
      </c>
      <c r="F108" s="17" t="inlineStr">
        <is>
          <t>test</t>
        </is>
      </c>
      <c r="G108" s="17" t="inlineStr">
        <is>
          <t>test</t>
        </is>
      </c>
      <c r="H108" s="17" t="inlineStr">
        <is>
          <t>test</t>
        </is>
      </c>
      <c r="I108" s="17" t="inlineStr">
        <is>
          <t>gecti</t>
        </is>
      </c>
      <c r="J108" s="17" t="inlineStr">
        <is>
          <t>gecti</t>
        </is>
      </c>
      <c r="K108" s="7" t="str">
        <f>IF(COUNTIF(C108:J108,"kaldi")&gt;0,"kaldi",IF(COUNTIF(C108:J108,"test")&gt;0,"test","gecti"))</f>
        <v>test</v>
      </c>
      <c r="L108" s="16" t="inlineStr">
        <is>
          <t>Lisansı kullanıcıyla netleştir (G1); satış metinlerini hazırla, mali müşavir teyidi al (G2); MoR aç (G3); alıcı rolünü 10 görüşmeyle doğrula (G4, G5); efor planı yaz (G6).</t>
        </is>
      </c>
    </row>
    <row r="109">
      <c r="A109" s="7" t="str">
        <f>Secenekler!A109</f>
        <v>luquit-a</v>
      </c>
      <c r="B109" s="7" t="str">
        <f>Secenekler!C109</f>
        <v>Emlakçı CRM Lite aylık abonelik (bağımsız ofis)</v>
      </c>
      <c r="C109" s="17" t="inlineStr">
        <is>
          <t>test</t>
        </is>
      </c>
      <c r="D109" s="17" t="inlineStr">
        <is>
          <t>test</t>
        </is>
      </c>
      <c r="E109" s="17" t="inlineStr">
        <is>
          <t>test</t>
        </is>
      </c>
      <c r="F109" s="17" t="inlineStr">
        <is>
          <t>test</t>
        </is>
      </c>
      <c r="G109" s="17" t="inlineStr">
        <is>
          <t>gecti</t>
        </is>
      </c>
      <c r="H109" s="17" t="inlineStr">
        <is>
          <t>kaldi</t>
        </is>
      </c>
      <c r="I109" s="17" t="inlineStr">
        <is>
          <t>gecti</t>
        </is>
      </c>
      <c r="J109" s="17" t="inlineStr">
        <is>
          <t>gecti</t>
        </is>
      </c>
      <c r="K109" s="7" t="str">
        <f>IF(COUNTIF(C109:J109,"kaldi")&gt;0,"kaldi",IF(COUNTIF(C109:J109,"test")&gt;0,"test","gecti"))</f>
        <v>kaldi</v>
      </c>
      <c r="L109" s="16" t="inlineStr">
        <is>
          <t>G6: ilk kapsamı ilan, müşteri ve eşleştirmeye daraltıp 8 haftaya indir. G1: yeni ad ve alan adı seç. G2, G3: hukukçu teyidi ve ödeme hesabı aç. G4: 20 ofislik isim listesi çıkar.</t>
        </is>
      </c>
    </row>
    <row r="110">
      <c r="A110" s="7" t="str">
        <f>Secenekler!A110</f>
        <v>luquit-b</v>
      </c>
      <c r="B110" s="7" t="str">
        <f>Secenekler!C110</f>
        <v>Destekli cam arayüz yolculuk kiti (ajans ve freelancer)</v>
      </c>
      <c r="C110" s="17" t="inlineStr">
        <is>
          <t>test</t>
        </is>
      </c>
      <c r="D110" s="17" t="inlineStr">
        <is>
          <t>test</t>
        </is>
      </c>
      <c r="E110" s="17" t="inlineStr">
        <is>
          <t>test</t>
        </is>
      </c>
      <c r="F110" s="17" t="inlineStr">
        <is>
          <t>test</t>
        </is>
      </c>
      <c r="G110" s="17" t="inlineStr">
        <is>
          <t>test</t>
        </is>
      </c>
      <c r="H110" s="17" t="inlineStr">
        <is>
          <t>gecti</t>
        </is>
      </c>
      <c r="I110" s="17" t="inlineStr">
        <is>
          <t>gecti</t>
        </is>
      </c>
      <c r="J110" s="17" t="inlineStr">
        <is>
          <t>test</t>
        </is>
      </c>
      <c r="K110" s="7" t="str">
        <f>IF(COUNTIF(C110:J110,"kaldi")&gt;0,"kaldi",IF(COUNTIF(C110:J110,"test")&gt;0,"test","gecti"))</f>
        <v>test</v>
      </c>
      <c r="L110" s="16" t="inlineStr">
        <is>
          <t>G1: lisans ve görünürlüğü netleştir. G2, G3: MoR hesabı aç, mali müşavir teyidi al. G4: 20 ajans listesi çıkar. G5: hedef topluluk ve dizinleri adla yaz. G8: destek ve özel iş kapsamını yaz.</t>
        </is>
      </c>
    </row>
    <row r="111">
      <c r="A111" s="7" t="str">
        <f>Secenekler!A111</f>
        <v>metaframer-kernel-a</v>
      </c>
      <c r="B111" s="7" t="str">
        <f>Secenekler!C111</f>
        <v>tenantkit lisanslı kit (Solo ve Team, küresel)</v>
      </c>
      <c r="C111" s="17" t="inlineStr">
        <is>
          <t>test</t>
        </is>
      </c>
      <c r="D111" s="17" t="inlineStr">
        <is>
          <t>test</t>
        </is>
      </c>
      <c r="E111" s="17" t="inlineStr">
        <is>
          <t>test</t>
        </is>
      </c>
      <c r="F111" s="17" t="inlineStr">
        <is>
          <t>test</t>
        </is>
      </c>
      <c r="G111" s="17" t="inlineStr">
        <is>
          <t>gecti</t>
        </is>
      </c>
      <c r="H111" s="17" t="inlineStr">
        <is>
          <t>test</t>
        </is>
      </c>
      <c r="I111" s="17" t="inlineStr">
        <is>
          <t>gecti</t>
        </is>
      </c>
      <c r="J111" s="17" t="inlineStr">
        <is>
          <t>gecti</t>
        </is>
      </c>
      <c r="K111" s="7" t="str">
        <f>IF(COUNTIF(C111:J111,"kaldi")&gt;0,"kaldi",IF(COUNTIF(C111:J111,"test")&gt;0,"test","gecti"))</f>
        <v>test</v>
      </c>
      <c r="L111" s="16" t="inlineStr">
        <is>
          <t>Yazar listesini çıkar; Lemon Squeezy hesabı ve test ödemesi; 20 isimlik liste; 2 haftalık denemede kalan eforu ölç, kapsamı L1 ile sınırla.</t>
        </is>
      </c>
    </row>
    <row r="112">
      <c r="A112" s="7" t="str">
        <f>Secenekler!A112</f>
        <v>metaframer-kernel-b</v>
      </c>
      <c r="B112" s="7" t="str">
        <f>Secenekler!C112</f>
        <v>Ajans paketi: Team lisansı ve 1 günlük atölye (Türkiye)</v>
      </c>
      <c r="C112" s="17" t="inlineStr">
        <is>
          <t>test</t>
        </is>
      </c>
      <c r="D112" s="17" t="inlineStr">
        <is>
          <t>test</t>
        </is>
      </c>
      <c r="E112" s="17" t="inlineStr">
        <is>
          <t>test</t>
        </is>
      </c>
      <c r="F112" s="17" t="inlineStr">
        <is>
          <t>test</t>
        </is>
      </c>
      <c r="G112" s="17" t="inlineStr">
        <is>
          <t>gecti</t>
        </is>
      </c>
      <c r="H112" s="17" t="inlineStr">
        <is>
          <t>test</t>
        </is>
      </c>
      <c r="I112" s="17" t="inlineStr">
        <is>
          <t>gecti</t>
        </is>
      </c>
      <c r="J112" s="17" t="inlineStr">
        <is>
          <t>test</t>
        </is>
      </c>
      <c r="K112" s="7" t="str">
        <f>IF(COUNTIF(C112:J112,"kaldi")&gt;0,"kaldi",IF(COUNTIF(C112:J112,"test")&gt;0,"test","gecti"))</f>
        <v>test</v>
      </c>
      <c r="L112" s="16" t="inlineStr">
        <is>
          <t>A seçeneğinin kapılarını kapat; 10 ajans adı çıkar; havale ve fatura düzenini mali müşavirle netleştir; atölye kapsamını yazılı sınırla (G8).</t>
        </is>
      </c>
    </row>
    <row r="113">
      <c r="A113" s="7" t="str">
        <f>Secenekler!A113</f>
        <v>metaframer-kernel-c</v>
      </c>
      <c r="B113" s="7" t="str">
        <f>Secenekler!C113</f>
        <v>Tek eylem çok kiracılı güvenlik entegrasyon paketi</v>
      </c>
      <c r="C113" s="17" t="inlineStr">
        <is>
          <t>test</t>
        </is>
      </c>
      <c r="D113" s="17" t="inlineStr">
        <is>
          <t>test</t>
        </is>
      </c>
      <c r="E113" s="17" t="inlineStr">
        <is>
          <t>test</t>
        </is>
      </c>
      <c r="F113" s="17" t="inlineStr">
        <is>
          <t>test</t>
        </is>
      </c>
      <c r="G113" s="17" t="inlineStr">
        <is>
          <t>test</t>
        </is>
      </c>
      <c r="H113" s="17" t="inlineStr">
        <is>
          <t>test</t>
        </is>
      </c>
      <c r="I113" s="17" t="inlineStr">
        <is>
          <t>gecti</t>
        </is>
      </c>
      <c r="J113" s="17" t="inlineStr">
        <is>
          <t>test</t>
        </is>
      </c>
      <c r="K113" s="7" t="str">
        <f>IF(COUNTIF(C113:J113,"kaldi")&gt;0,"kaldi",IF(COUNTIF(C113:J113,"test")&gt;0,"test","gecti"))</f>
        <v>test</v>
      </c>
      <c r="L113" s="16" t="inlineStr">
        <is>
          <t>Kapsamı tek eylem ve tek yığınla yazılı sınırla; sorumluluk sınırlı sözleşme şablonu; 20 hedef şirket listesi; ilgili başlıkları adlandır.</t>
        </is>
      </c>
    </row>
    <row r="114">
      <c r="A114" s="7" t="str">
        <f>Secenekler!A114</f>
        <v>alan-adi-bulucu-a</v>
      </c>
      <c r="B114" s="7" t="str">
        <f>Secenekler!C114</f>
        <v>Proje paketi: Türkçe puanlı boş .com kısa liste aracı</v>
      </c>
      <c r="C114" s="17" t="inlineStr">
        <is>
          <t>test</t>
        </is>
      </c>
      <c r="D114" s="17" t="inlineStr">
        <is>
          <t>test</t>
        </is>
      </c>
      <c r="E114" s="17" t="inlineStr">
        <is>
          <t>test</t>
        </is>
      </c>
      <c r="F114" s="17" t="inlineStr">
        <is>
          <t>test</t>
        </is>
      </c>
      <c r="G114" s="17" t="inlineStr">
        <is>
          <t>gecti</t>
        </is>
      </c>
      <c r="H114" s="17" t="inlineStr">
        <is>
          <t>test</t>
        </is>
      </c>
      <c r="I114" s="17" t="inlineStr">
        <is>
          <t>gecti</t>
        </is>
      </c>
      <c r="J114" s="17" t="inlineStr">
        <is>
          <t>gecti</t>
        </is>
      </c>
      <c r="K114" s="7" t="str">
        <f>IF(COUNTIF(C114:J114,"kaldi")&gt;0,"kaldi",IF(COUNTIF(C114:J114,"test")&gt;0,"test","gecti"))</f>
        <v>test</v>
      </c>
      <c r="L114" s="16" t="inlineStr">
        <is>
          <t>Lisans seçimini kullanıcıyla netleştir; ödeme hesabını aç ve test ödemesi yap; KVKK ve satış metinlerini mali müşavire teyit ettir; 20 kişilik hedef liste çıkar.</t>
        </is>
      </c>
    </row>
    <row r="115">
      <c r="A115" s="7" t="str">
        <f>Secenekler!A115</f>
        <v>alan-adi-bulucu-b</v>
      </c>
      <c r="B115" s="7" t="str">
        <f>Secenekler!C115</f>
        <v>Ajans yıllık paketi: puanlı kısa liste ve müşteri teslim şablonu</v>
      </c>
      <c r="C115" s="17" t="inlineStr">
        <is>
          <t>test</t>
        </is>
      </c>
      <c r="D115" s="17" t="inlineStr">
        <is>
          <t>test</t>
        </is>
      </c>
      <c r="E115" s="17" t="inlineStr">
        <is>
          <t>test</t>
        </is>
      </c>
      <c r="F115" s="17" t="inlineStr">
        <is>
          <t>test</t>
        </is>
      </c>
      <c r="G115" s="17" t="inlineStr">
        <is>
          <t>gecti</t>
        </is>
      </c>
      <c r="H115" s="17" t="inlineStr">
        <is>
          <t>test</t>
        </is>
      </c>
      <c r="I115" s="17" t="inlineStr">
        <is>
          <t>gecti</t>
        </is>
      </c>
      <c r="J115" s="17" t="inlineStr">
        <is>
          <t>gecti</t>
        </is>
      </c>
      <c r="K115" s="7" t="str">
        <f>IF(COUNTIF(C115:J115,"kaldi")&gt;0,"kaldi",IF(COUNTIF(C115:J115,"test")&gt;0,"test","gecti"))</f>
        <v>test</v>
      </c>
      <c r="L115" s="16" t="inlineStr">
        <is>
          <t>Şablon uyarı metnini hukukçuya teyit ettir; ödeme ve fatura düzenini kur; 30 ajanslık isim listesini çıkar; lisansı kullanıcıyla netleştir.</t>
        </is>
      </c>
    </row>
    <row r="116">
      <c r="A116" s="7" t="str">
        <f>Secenekler!A116</f>
        <v>alan-adi-bulucu-c</v>
      </c>
      <c r="B116" s="7" t="str">
        <f>Secenekler!C116</f>
        <v>Elle teslim: 10 adaylık güncel boş .com karar dosyası</v>
      </c>
      <c r="C116" s="17" t="inlineStr">
        <is>
          <t>test</t>
        </is>
      </c>
      <c r="D116" s="17" t="inlineStr">
        <is>
          <t>test</t>
        </is>
      </c>
      <c r="E116" s="17" t="inlineStr">
        <is>
          <t>test</t>
        </is>
      </c>
      <c r="F116" s="17" t="inlineStr">
        <is>
          <t>test</t>
        </is>
      </c>
      <c r="G116" s="17" t="inlineStr">
        <is>
          <t>gecti</t>
        </is>
      </c>
      <c r="H116" s="17" t="inlineStr">
        <is>
          <t>gecti</t>
        </is>
      </c>
      <c r="I116" s="17" t="inlineStr">
        <is>
          <t>gecti</t>
        </is>
      </c>
      <c r="J116" s="17" t="inlineStr">
        <is>
          <t>gecti</t>
        </is>
      </c>
      <c r="K116" s="7" t="str">
        <f>IF(COUNTIF(C116:J116,"kaldi")&gt;0,"kaldi",IF(COUNTIF(C116:J116,"test")&gt;0,"test","gecti"))</f>
        <v>test</v>
      </c>
      <c r="L116" s="16" t="inlineStr">
        <is>
          <t>Uyarı metnini teyit ettir; ödeme yolunu aç; 20 kişilik hedef listeyi çıkar; lisansı kullanıcıyla netleştir.</t>
        </is>
      </c>
    </row>
    <row r="117">
      <c r="A117" s="7" t="str">
        <f>Secenekler!A117</f>
        <v>projector-a</v>
      </c>
      <c r="B117" s="7" t="str">
        <f>Secenekler!C117</f>
        <v>Türkçe SaaS mimarisi e-kitabı ön satışı</v>
      </c>
      <c r="C117" s="17" t="inlineStr">
        <is>
          <t>test</t>
        </is>
      </c>
      <c r="D117" s="17" t="inlineStr">
        <is>
          <t>test</t>
        </is>
      </c>
      <c r="E117" s="17" t="inlineStr">
        <is>
          <t>test</t>
        </is>
      </c>
      <c r="F117" s="17" t="inlineStr">
        <is>
          <t>test</t>
        </is>
      </c>
      <c r="G117" s="17" t="inlineStr">
        <is>
          <t>gecti</t>
        </is>
      </c>
      <c r="H117" s="17" t="inlineStr">
        <is>
          <t>test</t>
        </is>
      </c>
      <c r="I117" s="17" t="inlineStr">
        <is>
          <t>gecti</t>
        </is>
      </c>
      <c r="J117" s="17" t="inlineStr">
        <is>
          <t>gecti</t>
        </is>
      </c>
      <c r="K117" s="7" t="str">
        <f>IF(COUNTIF(C117:J117,"kaldi")&gt;0,"kaldi",IF(COUNTIF(C117:J117,"test")&gt;0,"test","gecti"))</f>
        <v>test</v>
      </c>
      <c r="L117" s="16" t="inlineStr">
        <is>
          <t>G1-G4: hak beyanı, mali müşavir ve hukukçu teyidi, ödeme hesabı, 20 isimlik liste. G6: ilk 3 bölüm kapsamını ve haftalık takvimi 160 saat altında sabitle.</t>
        </is>
      </c>
    </row>
    <row r="118">
      <c r="A118" s="7" t="str">
        <f>Secenekler!A118</f>
        <v>projector-b</v>
      </c>
      <c r="B118" s="7" t="str">
        <f>Secenekler!C118</f>
        <v>İki günlük ekip atölyesi: Kurumsal SaaS mimarisi</v>
      </c>
      <c r="C118" s="17" t="inlineStr">
        <is>
          <t>test</t>
        </is>
      </c>
      <c r="D118" s="17" t="inlineStr">
        <is>
          <t>test</t>
        </is>
      </c>
      <c r="E118" s="17" t="inlineStr">
        <is>
          <t>test</t>
        </is>
      </c>
      <c r="F118" s="17" t="inlineStr">
        <is>
          <t>test</t>
        </is>
      </c>
      <c r="G118" s="17" t="inlineStr">
        <is>
          <t>gecti</t>
        </is>
      </c>
      <c r="H118" s="17" t="inlineStr">
        <is>
          <t>gecti</t>
        </is>
      </c>
      <c r="I118" s="17" t="inlineStr">
        <is>
          <t>gecti</t>
        </is>
      </c>
      <c r="J118" s="17" t="inlineStr">
        <is>
          <t>test</t>
        </is>
      </c>
      <c r="K118" s="7" t="str">
        <f>IF(COUNTIF(C118:J118,"kaldi")&gt;0,"kaldi",IF(COUNTIF(C118:J118,"test")&gt;0,"test","gecti"))</f>
        <v>test</v>
      </c>
      <c r="L118" s="16" t="inlineStr">
        <is>
          <t>G1-G4: hak beyanı, mali müşavir teyidi, sözleşme şablonu ve 30 firmalık liste; G8: uyarlama kapsamını 1 modül haritasıyla sınırla.</t>
        </is>
      </c>
    </row>
    <row r="119">
      <c r="A119" s="7" t="str">
        <f>Secenekler!A119</f>
        <v>projector-c</v>
      </c>
      <c r="B119" s="7" t="str">
        <f>Secenekler!C119</f>
        <v>Kaynaklı teslim portalı: 30 dokümanlık migration pilotu</v>
      </c>
      <c r="C119" s="17" t="inlineStr">
        <is>
          <t>test</t>
        </is>
      </c>
      <c r="D119" s="17" t="inlineStr">
        <is>
          <t>test</t>
        </is>
      </c>
      <c r="E119" s="17" t="inlineStr">
        <is>
          <t>test</t>
        </is>
      </c>
      <c r="F119" s="17" t="inlineStr">
        <is>
          <t>test</t>
        </is>
      </c>
      <c r="G119" s="17" t="inlineStr">
        <is>
          <t>test</t>
        </is>
      </c>
      <c r="H119" s="17" t="inlineStr">
        <is>
          <t>test</t>
        </is>
      </c>
      <c r="I119" s="17" t="inlineStr">
        <is>
          <t>gecti</t>
        </is>
      </c>
      <c r="J119" s="17" t="inlineStr">
        <is>
          <t>test</t>
        </is>
      </c>
      <c r="K119" s="7" t="str">
        <f>IF(COUNTIF(C119:J119,"kaldi")&gt;0,"kaldi",IF(COUNTIF(C119:J119,"test")&gt;0,"test","gecti"))</f>
        <v>test</v>
      </c>
      <c r="L119" s="16" t="inlineStr">
        <is>
          <t>G1-G5: lisans kararı kullanıcıdan, veri işleme şablonu, ödeme hesabı, 20 firmalık liste ve somut topluluk hedefi; G6-G8: kapsam ve efor sınırını yaz.</t>
        </is>
      </c>
    </row>
    <row r="120">
      <c r="A120" s="7" t="str">
        <f>Secenekler!A120</f>
        <v>kurucu-pusulasi-a</v>
      </c>
      <c r="B120" s="7" t="str">
        <f>Secenekler!C120</f>
        <v>Kurucu Pusulası şablonu, bireysel satış</v>
      </c>
      <c r="C120" s="17" t="inlineStr">
        <is>
          <t>test</t>
        </is>
      </c>
      <c r="D120" s="17" t="inlineStr">
        <is>
          <t>test</t>
        </is>
      </c>
      <c r="E120" s="17" t="inlineStr">
        <is>
          <t>test</t>
        </is>
      </c>
      <c r="F120" s="17" t="inlineStr">
        <is>
          <t>test</t>
        </is>
      </c>
      <c r="G120" s="17" t="inlineStr">
        <is>
          <t>gecti</t>
        </is>
      </c>
      <c r="H120" s="17" t="inlineStr">
        <is>
          <t>gecti</t>
        </is>
      </c>
      <c r="I120" s="17" t="inlineStr">
        <is>
          <t>gecti</t>
        </is>
      </c>
      <c r="J120" s="17" t="inlineStr">
        <is>
          <t>gecti</t>
        </is>
      </c>
      <c r="K120" s="7" t="str">
        <f>IF(COUNTIF(C120:J120,"kaldi")&gt;0,"kaldi",IF(COUNTIF(C120:J120,"test")&gt;0,"test","gecti"))</f>
        <v>test</v>
      </c>
      <c r="L120" s="16" t="inlineStr">
        <is>
          <t>G1: kişisel kümeleri ayır, üçüncü kişi verisi ve çerçeve atıfları için yazılı hak beyanı yaz. G2: denetim betiği, mali müşavir teyidi. G3: Shopier hesabı, 1 TL test. G4: 20 kurucu listesi.</t>
        </is>
      </c>
    </row>
    <row r="121">
      <c r="A121" s="7" t="str">
        <f>Secenekler!A121</f>
        <v>kurucu-pusulasi-b</v>
      </c>
      <c r="B121" s="7" t="str">
        <f>Secenekler!C121</f>
        <v>Mentor sürümü, kuluçka programlarına kurum lisansı</v>
      </c>
      <c r="C121" s="17" t="inlineStr">
        <is>
          <t>test</t>
        </is>
      </c>
      <c r="D121" s="17" t="inlineStr">
        <is>
          <t>test</t>
        </is>
      </c>
      <c r="E121" s="17" t="inlineStr">
        <is>
          <t>test</t>
        </is>
      </c>
      <c r="F121" s="17" t="inlineStr">
        <is>
          <t>test</t>
        </is>
      </c>
      <c r="G121" s="17" t="inlineStr">
        <is>
          <t>test</t>
        </is>
      </c>
      <c r="H121" s="17" t="inlineStr">
        <is>
          <t>test</t>
        </is>
      </c>
      <c r="I121" s="17" t="inlineStr">
        <is>
          <t>gecti</t>
        </is>
      </c>
      <c r="J121" s="17" t="inlineStr">
        <is>
          <t>test</t>
        </is>
      </c>
      <c r="K121" s="7" t="str">
        <f>IF(COUNTIF(C121:J121,"kaldi")&gt;0,"kaldi",IF(COUNTIF(C121:J121,"test")&gt;0,"test","gecti"))</f>
        <v>test</v>
      </c>
      <c r="L121" s="16" t="inlineStr">
        <is>
          <t>G1, G2 ve G3: bireysel paketle birlikte teyit et. G4 ve G5: 10 programı adıyla listele. G6: ilk görüşmede karar süreci sor. G8: atölyeyi tek 1 saatle sınırla.</t>
        </is>
      </c>
    </row>
    <row r="122">
      <c r="A122" s="7" t="str">
        <f>Secenekler!A122</f>
        <v>kurucu-pusulasi-c</v>
      </c>
      <c r="B122" s="7" t="str">
        <f>Secenekler!C122</f>
        <v>Kitap Atlası, çevirmen künyeli ortaklık sitesi</v>
      </c>
      <c r="C122" s="17" t="inlineStr">
        <is>
          <t>test</t>
        </is>
      </c>
      <c r="D122" s="17" t="inlineStr">
        <is>
          <t>test</t>
        </is>
      </c>
      <c r="E122" s="17" t="inlineStr">
        <is>
          <t>test</t>
        </is>
      </c>
      <c r="F122" s="17" t="inlineStr">
        <is>
          <t>test</t>
        </is>
      </c>
      <c r="G122" s="17" t="inlineStr">
        <is>
          <t>gecti</t>
        </is>
      </c>
      <c r="H122" s="17" t="inlineStr">
        <is>
          <t>test</t>
        </is>
      </c>
      <c r="I122" s="17" t="inlineStr">
        <is>
          <t>gecti</t>
        </is>
      </c>
      <c r="J122" s="17" t="inlineStr">
        <is>
          <t>gecti</t>
        </is>
      </c>
      <c r="K122" s="7" t="str">
        <f>IF(COUNTIF(C122:J122,"kaldi")&gt;0,"kaldi",IF(COUNTIF(C122:J122,"test")&gt;0,"test","gecti"))</f>
        <v>test</v>
      </c>
      <c r="L122" s="16" t="inlineStr">
        <is>
          <t>G1 ve G2: kapak ve ortaklık metinlerini kontrol et. G3 ve G4: üç programa başvur. G6: ilk komisyon eşiğini programdan öğren.</t>
        </is>
      </c>
    </row>
    <row r="123">
      <c r="A123" s="7" t="str">
        <f>Secenekler!A123</f>
        <v>signator-a</v>
      </c>
      <c r="B123" s="7" t="str">
        <f>Secenekler!C123</f>
        <v>Ajans paketi: white-label toplu imza ve KVKK altbilgi</v>
      </c>
      <c r="C123" s="17" t="inlineStr">
        <is>
          <t>test</t>
        </is>
      </c>
      <c r="D123" s="17" t="inlineStr">
        <is>
          <t>test</t>
        </is>
      </c>
      <c r="E123" s="17" t="inlineStr">
        <is>
          <t>test</t>
        </is>
      </c>
      <c r="F123" s="17" t="inlineStr">
        <is>
          <t>test</t>
        </is>
      </c>
      <c r="G123" s="17" t="inlineStr">
        <is>
          <t>gecti</t>
        </is>
      </c>
      <c r="H123" s="17" t="inlineStr">
        <is>
          <t>gecti</t>
        </is>
      </c>
      <c r="I123" s="17" t="inlineStr">
        <is>
          <t>gecti</t>
        </is>
      </c>
      <c r="J123" s="17" t="inlineStr">
        <is>
          <t>gecti</t>
        </is>
      </c>
      <c r="K123" s="7" t="str">
        <f>IF(COUNTIF(C123:J123,"kaldi")&gt;0,"kaldi",IF(COUNTIF(C123:J123,"test")&gt;0,"test","gecti"))</f>
        <v>test</v>
      </c>
      <c r="L123" s="16" t="inlineStr">
        <is>
          <t>İkon ve bağımlılık lisanslarını denetle; hukukçu okumasını yaptır, ödeme hesabını aç ve test ödemesi yap, 20 ajanslık isim listesi çıkar.</t>
        </is>
      </c>
    </row>
    <row r="124">
      <c r="A124" s="7" t="str">
        <f>Secenekler!A124</f>
        <v>signator-b</v>
      </c>
      <c r="B124" s="7" t="str">
        <f>Secenekler!C124</f>
        <v>KOBİ ekip paketi: self-servis, aramadan gelen satış</v>
      </c>
      <c r="C124" s="17" t="inlineStr">
        <is>
          <t>test</t>
        </is>
      </c>
      <c r="D124" s="17" t="inlineStr">
        <is>
          <t>test</t>
        </is>
      </c>
      <c r="E124" s="17" t="inlineStr">
        <is>
          <t>test</t>
        </is>
      </c>
      <c r="F124" s="17" t="inlineStr">
        <is>
          <t>test</t>
        </is>
      </c>
      <c r="G124" s="17" t="inlineStr">
        <is>
          <t>gecti</t>
        </is>
      </c>
      <c r="H124" s="17" t="inlineStr">
        <is>
          <t>test</t>
        </is>
      </c>
      <c r="I124" s="17" t="inlineStr">
        <is>
          <t>gecti</t>
        </is>
      </c>
      <c r="J124" s="17" t="inlineStr">
        <is>
          <t>gecti</t>
        </is>
      </c>
      <c r="K124" s="7" t="str">
        <f>IF(COUNTIF(C124:J124,"kaldi")&gt;0,"kaldi",IF(COUNTIF(C124:J124,"test")&gt;0,"test","gecti"))</f>
        <v>test</v>
      </c>
      <c r="L124" s="16" t="inlineStr">
        <is>
          <t>İkon ve bağımlılık lisanslarını denetle; hukukçu okuması, ödeme hesabı ve test siparişi, 20 hedef şirketlik liste; sprint sonrası arama gösterimiyle süreyi ölç.</t>
        </is>
      </c>
    </row>
    <row r="125">
      <c r="A125" s="7" t="str">
        <f>Secenekler!A125</f>
        <v>signator-c</v>
      </c>
      <c r="B125" s="7" t="str">
        <f>Secenekler!C125</f>
        <v>Sabit fiyatlı ekip imzası kurulum paketi</v>
      </c>
      <c r="C125" s="17" t="inlineStr">
        <is>
          <t>gecti</t>
        </is>
      </c>
      <c r="D125" s="17" t="inlineStr">
        <is>
          <t>test</t>
        </is>
      </c>
      <c r="E125" s="17" t="inlineStr">
        <is>
          <t>test</t>
        </is>
      </c>
      <c r="F125" s="17" t="inlineStr">
        <is>
          <t>test</t>
        </is>
      </c>
      <c r="G125" s="17" t="inlineStr">
        <is>
          <t>gecti</t>
        </is>
      </c>
      <c r="H125" s="17" t="inlineStr">
        <is>
          <t>gecti</t>
        </is>
      </c>
      <c r="I125" s="17" t="inlineStr">
        <is>
          <t>gecti</t>
        </is>
      </c>
      <c r="J125" s="17" t="inlineStr">
        <is>
          <t>gecti</t>
        </is>
      </c>
      <c r="K125" s="7" t="str">
        <f>IF(COUNTIF(C125:J125,"kaldi")&gt;0,"kaldi",IF(COUNTIF(C125:J125,"test")&gt;0,"test","gecti"))</f>
        <v>test</v>
      </c>
      <c r="L125" s="16" t="inlineStr">
        <is>
          <t>Ödeme ve fatura yolunu aç, veri işleme notunu yazdır, 5 mevcut ilişkiyle teklif görüşmesi yap.</t>
        </is>
      </c>
    </row>
    <row r="126">
      <c r="A126" s="7" t="str">
        <f>Secenekler!A126</f>
        <v>volley-tap-a</v>
      </c>
      <c r="B126" s="7" t="str">
        <f>Secenekler!C126</f>
        <v>Kulüp ve markalara sabit paketli kampanya oyunu</v>
      </c>
      <c r="C126" s="17" t="inlineStr">
        <is>
          <t>test</t>
        </is>
      </c>
      <c r="D126" s="17" t="inlineStr">
        <is>
          <t>test</t>
        </is>
      </c>
      <c r="E126" s="17" t="inlineStr">
        <is>
          <t>test</t>
        </is>
      </c>
      <c r="F126" s="17" t="inlineStr">
        <is>
          <t>test</t>
        </is>
      </c>
      <c r="G126" s="17" t="inlineStr">
        <is>
          <t>gecti</t>
        </is>
      </c>
      <c r="H126" s="17" t="inlineStr">
        <is>
          <t>test</t>
        </is>
      </c>
      <c r="I126" s="17" t="inlineStr">
        <is>
          <t>gecti</t>
        </is>
      </c>
      <c r="J126" s="17" t="inlineStr">
        <is>
          <t>test</t>
        </is>
      </c>
      <c r="K126" s="7" t="str">
        <f>IF(COUNTIF(C126:J126,"kaldi")&gt;0,"kaldi",IF(COUNTIF(C126:J126,"test")&gt;0,"test","gecti"))</f>
        <v>test</v>
      </c>
      <c r="L126" s="16" t="inlineStr">
        <is>
          <t>Lisans listesi ve kulüp logo izin metni hazırla; analitiği kapat ve mali müşavire sor; kapsam belgesi yaz; 20 kulüp ve marka ismini listele.</t>
        </is>
      </c>
    </row>
    <row r="127">
      <c r="A127" s="7" t="str">
        <f>Secenekler!A127</f>
        <v>volley-tap-b</v>
      </c>
      <c r="B127" s="7" t="str">
        <f>Secenekler!C127</f>
        <v>CrazyGames ve Yandex Games portal reklam geliri</v>
      </c>
      <c r="C127" s="17" t="inlineStr">
        <is>
          <t>test</t>
        </is>
      </c>
      <c r="D127" s="17" t="inlineStr">
        <is>
          <t>test</t>
        </is>
      </c>
      <c r="E127" s="17" t="inlineStr">
        <is>
          <t>test</t>
        </is>
      </c>
      <c r="F127" s="17" t="inlineStr">
        <is>
          <t>test</t>
        </is>
      </c>
      <c r="G127" s="17" t="inlineStr">
        <is>
          <t>gecti</t>
        </is>
      </c>
      <c r="H127" s="17" t="inlineStr">
        <is>
          <t>test</t>
        </is>
      </c>
      <c r="I127" s="17" t="inlineStr">
        <is>
          <t>gecti</t>
        </is>
      </c>
      <c r="J127" s="17" t="inlineStr">
        <is>
          <t>gecti</t>
        </is>
      </c>
      <c r="K127" s="7" t="str">
        <f>IF(COUNTIF(C127:J127,"kaldi")&gt;0,"kaldi",IF(COUNTIF(C127:J127,"test")&gt;0,"test","gecti"))</f>
        <v>test</v>
      </c>
      <c r="L127" s="16" t="inlineStr">
        <is>
          <t>Ses ve görsel lisans envanteri çıkar; portal sözleşmesini oku; mali müşavire hizmet ihracı sor; CrazyGames geliştirici hesabı ve ödeme bilgisini aç.</t>
        </is>
      </c>
    </row>
    <row r="128">
      <c r="A128" s="7" t="str">
        <f>Secenekler!A128</f>
        <v>volley-tap-c</v>
      </c>
      <c r="B128" s="7" t="str">
        <f>Secenekler!C128</f>
        <v>itch.io tarayıcı demo ve ücretli premium paket</v>
      </c>
      <c r="C128" s="17" t="inlineStr">
        <is>
          <t>test</t>
        </is>
      </c>
      <c r="D128" s="17" t="inlineStr">
        <is>
          <t>test</t>
        </is>
      </c>
      <c r="E128" s="17" t="inlineStr">
        <is>
          <t>test</t>
        </is>
      </c>
      <c r="F128" s="17" t="inlineStr">
        <is>
          <t>test</t>
        </is>
      </c>
      <c r="G128" s="17" t="inlineStr">
        <is>
          <t>gecti</t>
        </is>
      </c>
      <c r="H128" s="17" t="inlineStr">
        <is>
          <t>gecti</t>
        </is>
      </c>
      <c r="I128" s="17" t="inlineStr">
        <is>
          <t>gecti</t>
        </is>
      </c>
      <c r="J128" s="17" t="inlineStr">
        <is>
          <t>gecti</t>
        </is>
      </c>
      <c r="K128" s="7" t="str">
        <f>IF(COUNTIF(C128:J128,"kaldi")&gt;0,"kaldi",IF(COUNTIF(C128:J128,"test")&gt;0,"test","gecti"))</f>
        <v>test</v>
      </c>
      <c r="L128" s="16" t="inlineStr">
        <is>
          <t>Varlık lisans envanteri çıkar; itch ödeme hesabını aç; mali müşavire sor; 100 gönüllü demo oturumu ve 5 gönüllü ödemeyle fiyatı sına.</t>
        </is>
      </c>
    </row>
    <row r="129">
      <c r="A129" s="7" t="str">
        <f>Secenekler!A129</f>
        <v>woocommnts-a</v>
      </c>
      <c r="B129" s="7" t="str">
        <f>Secenekler!C129</f>
        <v>Taksit ve kapıda ödeme eklentisi: ücretsiz çekirdek + Pro</v>
      </c>
      <c r="C129" s="17" t="inlineStr">
        <is>
          <t>test</t>
        </is>
      </c>
      <c r="D129" s="17" t="inlineStr">
        <is>
          <t>test</t>
        </is>
      </c>
      <c r="E129" s="17" t="inlineStr">
        <is>
          <t>test</t>
        </is>
      </c>
      <c r="F129" s="17" t="inlineStr">
        <is>
          <t>test</t>
        </is>
      </c>
      <c r="G129" s="17" t="inlineStr">
        <is>
          <t>gecti</t>
        </is>
      </c>
      <c r="H129" s="17" t="inlineStr">
        <is>
          <t>test</t>
        </is>
      </c>
      <c r="I129" s="17" t="inlineStr">
        <is>
          <t>gecti</t>
        </is>
      </c>
      <c r="J129" s="17" t="inlineStr">
        <is>
          <t>gecti</t>
        </is>
      </c>
      <c r="K129" s="7" t="str">
        <f>IF(COUNTIF(C129:J129,"kaldi")&gt;0,"kaldi",IF(COUNTIF(C129:J129,"test")&gt;0,"test","gecti"))</f>
        <v>test</v>
      </c>
      <c r="L129" s="16" t="inlineStr">
        <is>
          <t>Test kapıları: bağımlılık lisans taraması ve yeşil test, taksit sınırı için mali müşavir/hukukçu okuması, Shopier hesabı ve test ödemesi, 20 hedef mağaza ve ajans listesi, 3. hafta süre ölçümü.</t>
        </is>
      </c>
    </row>
    <row r="130">
      <c r="A130" s="7" t="str">
        <f>Secenekler!A130</f>
        <v>woocommnts-b</v>
      </c>
      <c r="B130" s="7" t="str">
        <f>Secenekler!C130</f>
        <v>Ajans paketi: 10 site lisanslı taksit ve kapıda ödeme eklentisi</v>
      </c>
      <c r="C130" s="17" t="inlineStr">
        <is>
          <t>test</t>
        </is>
      </c>
      <c r="D130" s="17" t="inlineStr">
        <is>
          <t>test</t>
        </is>
      </c>
      <c r="E130" s="17" t="inlineStr">
        <is>
          <t>test</t>
        </is>
      </c>
      <c r="F130" s="17" t="inlineStr">
        <is>
          <t>test</t>
        </is>
      </c>
      <c r="G130" s="17" t="inlineStr">
        <is>
          <t>test</t>
        </is>
      </c>
      <c r="H130" s="17" t="inlineStr">
        <is>
          <t>test</t>
        </is>
      </c>
      <c r="I130" s="17" t="inlineStr">
        <is>
          <t>gecti</t>
        </is>
      </c>
      <c r="J130" s="17" t="inlineStr">
        <is>
          <t>gecti</t>
        </is>
      </c>
      <c r="K130" s="7" t="str">
        <f>IF(COUNTIF(C130:J130,"kaldi")&gt;0,"kaldi",IF(COUNTIF(C130:J130,"test")&gt;0,"test","gecti"))</f>
        <v>test</v>
      </c>
      <c r="L130" s="16" t="inlineStr">
        <is>
          <t>Bağımlılık lisans taraması yap, ajans listesini isimle çıkar, hukukçu/mali müşavir teyidini al, ilk fatura akışını dene; 1 ajansta pilot bitince ilk tahsilatı al.</t>
        </is>
      </c>
    </row>
    <row r="131">
      <c r="A131" s="7" t="str">
        <f>Secenekler!A131</f>
        <v>woocommnts-c</v>
      </c>
      <c r="B131" s="7" t="str">
        <f>Secenekler!C131</f>
        <v>Yorum göç hizmeti: izinli yorumları doğru ürüne eşleme</v>
      </c>
      <c r="C131" s="17" t="inlineStr">
        <is>
          <t>test</t>
        </is>
      </c>
      <c r="D131" s="17" t="inlineStr">
        <is>
          <t>test</t>
        </is>
      </c>
      <c r="E131" s="17" t="inlineStr">
        <is>
          <t>test</t>
        </is>
      </c>
      <c r="F131" s="17" t="inlineStr">
        <is>
          <t>test</t>
        </is>
      </c>
      <c r="G131" s="17" t="inlineStr">
        <is>
          <t>test</t>
        </is>
      </c>
      <c r="H131" s="17" t="inlineStr">
        <is>
          <t>test</t>
        </is>
      </c>
      <c r="I131" s="17" t="inlineStr">
        <is>
          <t>gecti</t>
        </is>
      </c>
      <c r="J131" s="17" t="inlineStr">
        <is>
          <t>test</t>
        </is>
      </c>
      <c r="K131" s="7" t="str">
        <f>IF(COUNTIF(C131:J131,"kaldi")&gt;0,"kaldi",IF(COUNTIF(C131:J131,"test")&gt;0,"test","gecti"))</f>
        <v>test</v>
      </c>
      <c r="L131" s="16" t="inlineStr">
        <is>
          <t>Sabit kapsam ve istisna listesi yaz, veri işleme sözleşmesi hazırla, hukukçu teyidi al, okuma zincirini onar, ilk üç göçü pilot olarak yap.</t>
        </is>
      </c>
    </row>
    <row r="132">
      <c r="A132" s="7" t="str">
        <f>Secenekler!A132</f>
        <v>egitim-demolari-a</v>
      </c>
      <c r="B132" s="7" t="str">
        <f>Secenekler!C132</f>
        <v>Tek kazanımlı ders paketi (rehber ve cevap anahtarı)</v>
      </c>
      <c r="C132" s="17" t="inlineStr">
        <is>
          <t>test</t>
        </is>
      </c>
      <c r="D132" s="17" t="inlineStr">
        <is>
          <t>test</t>
        </is>
      </c>
      <c r="E132" s="17" t="inlineStr">
        <is>
          <t>test</t>
        </is>
      </c>
      <c r="F132" s="17" t="inlineStr">
        <is>
          <t>test</t>
        </is>
      </c>
      <c r="G132" s="17" t="inlineStr">
        <is>
          <t>test</t>
        </is>
      </c>
      <c r="H132" s="17" t="inlineStr">
        <is>
          <t>test</t>
        </is>
      </c>
      <c r="I132" s="17" t="inlineStr">
        <is>
          <t>gecti</t>
        </is>
      </c>
      <c r="J132" s="17" t="inlineStr">
        <is>
          <t>test</t>
        </is>
      </c>
      <c r="K132" s="7" t="str">
        <f>IF(COUNTIF(C132:J132,"kaldi")&gt;0,"kaldi",IF(COUNTIF(C132:J132,"test")&gt;0,"test","gecti"))</f>
        <v>test</v>
      </c>
      <c r="L132" s="16" t="inlineStr">
        <is>
          <t>Paket kapsamını ve revizyon sınırını yaz; hak ve lisans taraması yap; kanal listesini 20 isme tamamla; hesap aç ve test ödemesi yap; satış döngüsünü ilk 10 temasta ölç.</t>
        </is>
      </c>
    </row>
    <row r="133">
      <c r="A133" s="7" t="str">
        <f>Secenekler!A133</f>
        <v>egitim-demolari-b</v>
      </c>
      <c r="B133" s="7" t="str">
        <f>Secenekler!C133</f>
        <v>Ekip atölyesi: prensipleri kendi işine uyarlama</v>
      </c>
      <c r="C133" s="17" t="inlineStr">
        <is>
          <t>test</t>
        </is>
      </c>
      <c r="D133" s="17" t="inlineStr">
        <is>
          <t>gecti</t>
        </is>
      </c>
      <c r="E133" s="17" t="inlineStr">
        <is>
          <t>test</t>
        </is>
      </c>
      <c r="F133" s="17" t="inlineStr">
        <is>
          <t>test</t>
        </is>
      </c>
      <c r="G133" s="17" t="inlineStr">
        <is>
          <t>test</t>
        </is>
      </c>
      <c r="H133" s="17" t="inlineStr">
        <is>
          <t>test</t>
        </is>
      </c>
      <c r="I133" s="17" t="inlineStr">
        <is>
          <t>gecti</t>
        </is>
      </c>
      <c r="J133" s="17" t="inlineStr">
        <is>
          <t>test</t>
        </is>
      </c>
      <c r="K133" s="7" t="str">
        <f>IF(COUNTIF(C133:J133,"kaldi")&gt;0,"kaldi",IF(COUNTIF(C133:J133,"test")&gt;0,"test","gecti"))</f>
        <v>test</v>
      </c>
      <c r="L133" s="16" t="inlineStr">
        <is>
          <t>Paket kapsamını ve revizyon sınırını yaz; kanal listesini 20 isme tamamla; hesap aç; lisans taraması yap.</t>
        </is>
      </c>
    </row>
    <row r="134">
      <c r="A134" s="7" t="str">
        <f>Secenekler!A134</f>
        <v>baz-secenekler-a</v>
      </c>
      <c r="B134" s="7" t="str">
        <f>Secenekler!C134</f>
        <v>Günlük ücretli danışmanlık ya da yazılım işi (aynı saatlerde)</v>
      </c>
      <c r="C134" s="17" t="inlineStr">
        <is>
          <t>test</t>
        </is>
      </c>
      <c r="D134" s="17" t="inlineStr">
        <is>
          <t>test</t>
        </is>
      </c>
      <c r="E134" s="17" t="inlineStr">
        <is>
          <t>test</t>
        </is>
      </c>
      <c r="F134" s="17" t="inlineStr">
        <is>
          <t>test</t>
        </is>
      </c>
      <c r="G134" s="17" t="inlineStr">
        <is>
          <t>gecti</t>
        </is>
      </c>
      <c r="H134" s="17" t="inlineStr">
        <is>
          <t>gecti</t>
        </is>
      </c>
      <c r="I134" s="17" t="inlineStr">
        <is>
          <t>gecti</t>
        </is>
      </c>
      <c r="J134" s="17" t="inlineStr">
        <is>
          <t>test</t>
        </is>
      </c>
      <c r="K134" s="7" t="str">
        <f>IF(COUNTIF(C134:J134,"kaldi")&gt;0,"kaldi",IF(COUNTIF(C134:J134,"test")&gt;0,"test","gecti"))</f>
        <v>test</v>
      </c>
      <c r="L134" s="16" t="inlineStr">
        <is>
          <t>Sözleşme koşullarını oku; sözleşme ve fatura şablonunu mali müşavirle hazırla; yalnız sabit çıktılı 5 günlük paket sat; 20 isimlik liste çıkar.</t>
        </is>
      </c>
    </row>
    <row r="135">
      <c r="A135" s="7" t="str">
        <f>Secenekler!A135</f>
        <v>baz-secenekler-b</v>
      </c>
      <c r="B135" s="7" t="str">
        <f>Secenekler!C135</f>
        <v>Mevcut Django kod tabanının ajanslara kurulumlu satışı</v>
      </c>
      <c r="C135" s="17" t="inlineStr">
        <is>
          <t>test</t>
        </is>
      </c>
      <c r="D135" s="17" t="inlineStr">
        <is>
          <t>test</t>
        </is>
      </c>
      <c r="E135" s="17" t="inlineStr">
        <is>
          <t>test</t>
        </is>
      </c>
      <c r="F135" s="17" t="inlineStr">
        <is>
          <t>test</t>
        </is>
      </c>
      <c r="G135" s="17" t="inlineStr">
        <is>
          <t>test</t>
        </is>
      </c>
      <c r="H135" s="17" t="inlineStr">
        <is>
          <t>test</t>
        </is>
      </c>
      <c r="I135" s="17" t="inlineStr">
        <is>
          <t>gecti</t>
        </is>
      </c>
      <c r="J135" s="17" t="inlineStr">
        <is>
          <t>test</t>
        </is>
      </c>
      <c r="K135" s="7" t="str">
        <f>IF(COUNTIF(C135:J135,"kaldi")&gt;0,"kaldi",IF(COUNTIF(C135:J135,"test")&gt;0,"test","gecti"))</f>
        <v>test</v>
      </c>
      <c r="L135" s="16" t="inlineStr">
        <is>
          <t>GPL ve şablon taraması yap; hukukçuya lisans ve veri işleyen metni yazdır; 40 ajansı adlandır; uyarlamayı 20 saatle sınırla.</t>
        </is>
      </c>
    </row>
    <row r="136">
      <c r="A136" s="7" t="str">
        <f>Secenekler!A136</f>
        <v>baz-secenekler-c</v>
      </c>
      <c r="B136" s="7" t="str">
        <f>Secenekler!C136</f>
        <v>Kamu destek programı başvurusu: TÜBİTAK 1812 ön tohum yatırımı</v>
      </c>
      <c r="C136" s="17" t="inlineStr">
        <is>
          <t>test</t>
        </is>
      </c>
      <c r="D136" s="17" t="inlineStr">
        <is>
          <t>test</t>
        </is>
      </c>
      <c r="E136" s="17" t="inlineStr">
        <is>
          <t>test</t>
        </is>
      </c>
      <c r="F136" s="17" t="inlineStr">
        <is>
          <t>test</t>
        </is>
      </c>
      <c r="G136" s="17" t="inlineStr">
        <is>
          <t>test</t>
        </is>
      </c>
      <c r="H136" s="17" t="inlineStr">
        <is>
          <t>test</t>
        </is>
      </c>
      <c r="I136" s="17" t="inlineStr">
        <is>
          <t>gecti</t>
        </is>
      </c>
      <c r="J136" s="17" t="inlineStr">
        <is>
          <t>test</t>
        </is>
      </c>
      <c r="K136" s="7" t="str">
        <f>IF(COUNTIF(C136:J136,"kaldi")&gt;0,"kaldi",IF(COUNTIF(C136:J136,"test")&gt;0,"test","gecti"))</f>
        <v>test</v>
      </c>
      <c r="L136" s="16" t="inlineStr">
        <is>
          <t>Çağrı tarihini ve rozet şartını doğrula (kanal ve süre için de); şirket yapısını hukukçuyla kur; proje haklarını yazılı güvenceye al; izleme yükümlülüklerini sözleşmeden oku.</t>
        </is>
      </c>
    </row>
  </sheetData>
  <dataValidations count="1">
    <dataValidation sqref="C5 C6 C7 C8 C9 C10 C11 C12 C13 C14 C15 C16 C17 C18 C19 C20 C21 C22 C23 C24 C25 C26 C27 C28 C29 C30 C31 C32 C33 C34 C35 C36 C37 C38 C39 C40 C41 C42 C43 C44 C45 C46 C47 C48 C49 C50 C51 C52 C53 C54 C55 C56 C57 C58 C59 C60 C61 C62 C63 C64 C65 C66 C67 C68 C69 C70 C71 C72 C73 C74 C75 C76 C77 C78 C79 C80 C81 C82 C83 C84 C85 C86 C87 C88 C89 C90 C91 C92 C93 C94 C95 C96 C97 C98 C99 C100 C101 C102 C103 C104 C105 C106 C107 C108 C109 C110 C111 C112 C113 C114 C115 C116 C117 C118 C119 C120 C121 C122 C123 C124 C125 C126 C127 C128 C129 C130 C131 C132 C133 C134 C135 C136 D5 D6 D7 D8 D9 D10 D11 D12 D13 D14 D15 D16 D17 D18 D19 D20 D21 D22 D23 D24 D25 D26 D27 D28 D29 D30 D31 D32 D33 D34 D35 D36 D37 D38 D39 D40 D41 D42 D43 D44 D45 D46 D47 D48 D49 D50 D51 D52 D53 D54 D55 D56 D57 D58 D59 D60 D61 D62 D63 D64 D65 D66 D67 D68 D69 D70 D71 D72 D73 D74 D75 D76 D77 D78 D79 D80 D81 D82 D83 D84 D85 D86 D87 D88 D89 D90 D91 D92 D93 D94 D95 D96 D97 D98 D99 D100 D101 D102 D103 D104 D105 D106 D107 D108 D109 D110 D111 D112 D113 D114 D115 D116 D117 D118 D119 D120 D121 D122 D123 D124 D125 D126 D127 D128 D129 D130 D131 D132 D133 D134 D135 D136 E5 E6 E7 E8 E9 E10 E11 E12 E13 E14 E15 E16 E17 E18 E19 E20 E21 E22 E23 E24 E25 E26 E27 E28 E29 E30 E31 E32 E33 E34 E35 E36 E37 E38 E39 E40 E41 E42 E43 E44 E45 E46 E47 E48 E49 E50 E51 E52 E53 E54 E55 E56 E57 E58 E59 E60 E61 E62 E63 E64 E65 E66 E67 E68 E69 E70 E71 E72 E73 E74 E75 E76 E77 E78 E79 E80 E81 E82 E83 E84 E85 E86 E87 E88 E89 E90 E91 E92 E93 E94 E95 E96 E97 E98 E99 E100 E101 E102 E103 E104 E105 E106 E107 E108 E109 E110 E111 E112 E113 E114 E115 E116 E117 E118 E119 E120 E121 E122 E123 E124 E125 E126 E127 E128 E129 E130 E131 E132 E133 E134 E135 E136 F5 F6 F7 F8 F9 F10 F11 F12 F13 F14 F15 F16 F17 F18 F19 F20 F21 F22 F23 F24 F25 F26 F27 F28 F29 F30 F31 F32 F33 F34 F35 F36 F37 F38 F39 F40 F41 F42 F43 F44 F45 F46 F47 F48 F49 F50 F51 F52 F53 F54 F55 F56 F57 F58 F59 F60 F61 F62 F63 F64 F65 F66 F67 F68 F69 F70 F71 F72 F73 F74 F75 F76 F77 F78 F79 F80 F81 F82 F83 F84 F85 F86 F87 F88 F89 F90 F91 F92 F93 F94 F95 F96 F97 F98 F99 F100 F101 F102 F103 F104 F105 F106 F107 F108 F109 F110 F111 F112 F113 F114 F115 F116 F117 F118 F119 F120 F121 F122 F123 F124 F125 F126 F127 F128 F129 F130 F131 F132 F133 F134 F135 F136 G5 G6 G7 G8 G9 G10 G11 G12 G13 G14 G15 G16 G17 G18 G19 G20 G21 G22 G23 G24 G25 G26 G27 G28 G29 G30 G31 G32 G33 G34 G35 G36 G37 G38 G39 G40 G41 G42 G43 G44 G45 G46 G47 G48 G49 G50 G51 G52 G53 G54 G55 G56 G57 G58 G59 G60 G61 G62 G63 G64 G65 G66 G67 G68 G69 G70 G71 G72 G73 G74 G75 G76 G77 G78 G79 G80 G81 G82 G83 G84 G85 G86 G87 G88 G89 G90 G91 G92 G93 G94 G95 G96 G97 G98 G99 G100 G101 G102 G103 G104 G105 G106 G107 G108 G109 G110 G111 G112 G113 G114 G115 G116 G117 G118 G119 G120 G121 G122 G123 G124 G125 G126 G127 G128 G129 G130 G131 G132 G133 G134 G135 G136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H102 H103 H104 H105 H106 H107 H108 H109 H110 H111 H112 H113 H114 H115 H116 H117 H118 H119 H120 H121 H122 H123 H124 H125 H126 H127 H128 H129 H130 H131 H132 H133 H134 H135 H136 I5 I6 I7 I8 I9 I10 I11 I12 I13 I14 I15 I16 I17 I18 I19 I20 I21 I22 I23 I24 I25 I26 I27 I28 I29 I30 I31 I32 I33 I34 I35 I36 I37 I38 I39 I40 I41 I42 I43 I44 I45 I46 I47 I48 I49 I50 I51 I52 I53 I54 I55 I56 I57 I58 I59 I60 I61 I62 I63 I64 I65 I66 I67 I68 I69 I70 I71 I72 I73 I74 I75 I76 I77 I78 I79 I80 I81 I82 I83 I84 I85 I86 I87 I88 I89 I90 I91 I92 I93 I94 I95 I96 I97 I98 I99 I100 I101 I102 I103 I104 I105 I106 I107 I108 I109 I110 I111 I112 I113 I114 I115 I116 I117 I118 I119 I120 I121 I122 I123 I124 I125 I126 I127 I128 I129 I130 I131 I132 I133 I134 I135 I136 J5 J6 J7 J8 J9 J10 J11 J12 J13 J14 J15 J16 J17 J18 J19 J20 J21 J22 J23 J24 J25 J26 J27 J28 J29 J30 J31 J32 J33 J34 J35 J36 J37 J38 J39 J40 J41 J42 J43 J44 J45 J46 J47 J48 J49 J50 J51 J52 J53 J54 J55 J56 J57 J58 J59 J60 J61 J62 J63 J64 J65 J66 J67 J68 J69 J70 J71 J72 J73 J74 J75 J76 J77 J78 J79 J80 J81 J82 J83 J84 J85 J86 J87 J88 J89 J90 J91 J92 J93 J94 J95 J96 J97 J98 J99 J100 J101 J102 J103 J104 J105 J106 J107 J108 J109 J110 J111 J112 J113 J114 J115 J116 J117 J118 J119 J120 J121 J122 J123 J124 J125 J126 J127 J128 J129 J130 J131 J132 J133 J134 J135 J136" showDropDown="0" showInputMessage="0" showErrorMessage="0" allowBlank="0" type="list">
      <formula1>"gecti,test,kaldi"</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G13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7"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 width="7" customWidth="1" min="14" max="14"/>
    <col width="7" customWidth="1" min="15" max="15"/>
    <col width="7" customWidth="1" min="16" max="16"/>
    <col width="7" customWidth="1" min="17" max="17"/>
    <col width="7" customWidth="1" min="18" max="18"/>
    <col width="7" customWidth="1" min="19" max="19"/>
    <col width="7" customWidth="1" min="20" max="20"/>
    <col width="7" customWidth="1" min="21" max="21"/>
    <col width="7" customWidth="1" min="22" max="22"/>
    <col width="7" customWidth="1" min="23" max="23"/>
    <col width="7" customWidth="1" min="24" max="24"/>
    <col width="7" customWidth="1" min="25" max="25"/>
    <col width="7" customWidth="1" min="26" max="26"/>
    <col width="7" customWidth="1" min="27" max="27"/>
    <col width="7" customWidth="1" min="28" max="28"/>
    <col width="7" customWidth="1" min="29" max="29"/>
    <col width="7" customWidth="1" min="30" max="30"/>
    <col width="7" customWidth="1" min="31" max="31"/>
    <col width="7" customWidth="1" min="32" max="32"/>
    <col width="7" customWidth="1" min="33" max="33"/>
  </cols>
  <sheetData>
    <row r="1">
      <c r="A1" s="1" t="inlineStr">
        <is>
          <t>Puanlar (0-5)</t>
        </is>
      </c>
    </row>
    <row r="2">
      <c r="A2" s="3" t="inlineStr">
        <is>
          <t>Mavi hücreler değiştirilebilir. C1, C2 ve D1 Finans sayfasından hesaplanır. Bilinmeyen puan boş bırakılır.</t>
        </is>
      </c>
    </row>
    <row r="3">
      <c r="B3" s="14" t="inlineStr">
        <is>
          <t>Ağırlık</t>
        </is>
      </c>
      <c r="C3" s="8">
        <f>Kriterler!F14</f>
        <v>5</v>
      </c>
      <c r="D3" s="8">
        <f>Kriterler!F15</f>
        <v>5</v>
      </c>
      <c r="E3" s="8">
        <f>Kriterler!F16</f>
        <v>3</v>
      </c>
      <c r="F3" s="8">
        <f>Kriterler!F17</f>
        <v>3</v>
      </c>
      <c r="G3" s="8">
        <f>Kriterler!F18</f>
        <v>3</v>
      </c>
      <c r="H3" s="8">
        <f>Kriterler!F19</f>
        <v>6</v>
      </c>
      <c r="I3" s="8">
        <f>Kriterler!F20</f>
        <v>8</v>
      </c>
      <c r="J3" s="8">
        <f>Kriterler!F21</f>
        <v>5</v>
      </c>
      <c r="K3" s="8">
        <f>Kriterler!F22</f>
        <v>6</v>
      </c>
      <c r="L3" s="8">
        <f>Kriterler!F23</f>
        <v>5</v>
      </c>
      <c r="M3" s="8">
        <f>Kriterler!F24</f>
        <v>3</v>
      </c>
      <c r="N3" s="8">
        <f>Kriterler!F25</f>
        <v>3</v>
      </c>
      <c r="O3" s="8">
        <f>Kriterler!F26</f>
        <v>6</v>
      </c>
      <c r="P3" s="8">
        <f>Kriterler!F27</f>
        <v>5</v>
      </c>
      <c r="Q3" s="8">
        <f>Kriterler!F28</f>
        <v>4</v>
      </c>
      <c r="R3" s="8">
        <f>Kriterler!F29</f>
        <v>3</v>
      </c>
      <c r="S3" s="8">
        <f>Kriterler!F30</f>
        <v>2</v>
      </c>
      <c r="T3" s="8">
        <f>Kriterler!F31</f>
        <v>2</v>
      </c>
      <c r="U3" s="8">
        <f>Kriterler!F32</f>
        <v>4</v>
      </c>
      <c r="V3" s="8">
        <f>Kriterler!F33</f>
        <v>2</v>
      </c>
      <c r="W3" s="8">
        <f>Kriterler!F34</f>
        <v>2</v>
      </c>
      <c r="X3" s="8">
        <f>Kriterler!F35</f>
        <v>3</v>
      </c>
      <c r="Y3" s="8">
        <f>Kriterler!F36</f>
        <v>4</v>
      </c>
      <c r="Z3" s="8">
        <f>Kriterler!F37</f>
        <v>4</v>
      </c>
      <c r="AA3" s="8">
        <f>Kriterler!F38</f>
        <v>2</v>
      </c>
      <c r="AB3" s="8">
        <f>Kriterler!F39</f>
        <v>2</v>
      </c>
      <c r="AD3" s="8">
        <f>Kriterler!E44</f>
        <v>25</v>
      </c>
      <c r="AE3" s="8">
        <f>Kriterler!E45</f>
        <v>25</v>
      </c>
      <c r="AF3" s="8">
        <f>Kriterler!E46</f>
        <v>25</v>
      </c>
      <c r="AG3" s="8">
        <f>Kriterler!E47</f>
        <v>25</v>
      </c>
    </row>
    <row r="4">
      <c r="A4" s="18" t="inlineStr">
        <is>
          <t>Kimlik</t>
        </is>
      </c>
      <c r="B4" s="18" t="inlineStr">
        <is>
          <t>Seçenek</t>
        </is>
      </c>
      <c r="C4" s="19" t="inlineStr">
        <is>
          <t>A1</t>
        </is>
      </c>
      <c r="D4" s="19" t="inlineStr">
        <is>
          <t>A2</t>
        </is>
      </c>
      <c r="E4" s="19" t="inlineStr">
        <is>
          <t>A3</t>
        </is>
      </c>
      <c r="F4" s="19" t="inlineStr">
        <is>
          <t>A4</t>
        </is>
      </c>
      <c r="G4" s="19" t="inlineStr">
        <is>
          <t>A5</t>
        </is>
      </c>
      <c r="H4" s="19" t="inlineStr">
        <is>
          <t>A6</t>
        </is>
      </c>
      <c r="I4" s="19" t="inlineStr">
        <is>
          <t>B1</t>
        </is>
      </c>
      <c r="J4" s="19" t="inlineStr">
        <is>
          <t>B2</t>
        </is>
      </c>
      <c r="K4" s="19" t="inlineStr">
        <is>
          <t>B3</t>
        </is>
      </c>
      <c r="L4" s="19" t="inlineStr">
        <is>
          <t>B4</t>
        </is>
      </c>
      <c r="M4" s="19" t="inlineStr">
        <is>
          <t>B5</t>
        </is>
      </c>
      <c r="N4" s="19" t="inlineStr">
        <is>
          <t>B6</t>
        </is>
      </c>
      <c r="O4" s="19" t="inlineStr">
        <is>
          <t>C1</t>
        </is>
      </c>
      <c r="P4" s="19" t="inlineStr">
        <is>
          <t>C2</t>
        </is>
      </c>
      <c r="Q4" s="19" t="inlineStr">
        <is>
          <t>C3</t>
        </is>
      </c>
      <c r="R4" s="19" t="inlineStr">
        <is>
          <t>C4</t>
        </is>
      </c>
      <c r="S4" s="19" t="inlineStr">
        <is>
          <t>C5</t>
        </is>
      </c>
      <c r="T4" s="19" t="inlineStr">
        <is>
          <t>C6</t>
        </is>
      </c>
      <c r="U4" s="19" t="inlineStr">
        <is>
          <t>D1</t>
        </is>
      </c>
      <c r="V4" s="19" t="inlineStr">
        <is>
          <t>D2</t>
        </is>
      </c>
      <c r="W4" s="19" t="inlineStr">
        <is>
          <t>D3</t>
        </is>
      </c>
      <c r="X4" s="19" t="inlineStr">
        <is>
          <t>E1</t>
        </is>
      </c>
      <c r="Y4" s="19" t="inlineStr">
        <is>
          <t>E2</t>
        </is>
      </c>
      <c r="Z4" s="19" t="inlineStr">
        <is>
          <t>F1</t>
        </is>
      </c>
      <c r="AA4" s="19" t="inlineStr">
        <is>
          <t>F2</t>
        </is>
      </c>
      <c r="AB4" s="19" t="inlineStr">
        <is>
          <t>F3</t>
        </is>
      </c>
      <c r="AD4" s="19" t="inlineStr">
        <is>
          <t>S1</t>
        </is>
      </c>
      <c r="AE4" s="19" t="inlineStr">
        <is>
          <t>S2</t>
        </is>
      </c>
      <c r="AF4" s="19" t="inlineStr">
        <is>
          <t>S3</t>
        </is>
      </c>
      <c r="AG4" s="19" t="inlineStr">
        <is>
          <t>S4</t>
        </is>
      </c>
    </row>
    <row r="5">
      <c r="A5" s="7" t="str">
        <f>Secenekler!A5</f>
        <v>zabuno-a</v>
      </c>
      <c r="B5" s="7" t="str">
        <f>Secenekler!C5</f>
        <v>Kafe aboneliği: kurulum dahil Restaurant planı</v>
      </c>
      <c r="C5" s="20" t="n">
        <v>3</v>
      </c>
      <c r="D5" s="20" t="n">
        <v>3</v>
      </c>
      <c r="E5" s="20" t="n">
        <v>4</v>
      </c>
      <c r="F5" s="20" t="n">
        <v>4</v>
      </c>
      <c r="G5" s="20" t="n">
        <v>5</v>
      </c>
      <c r="H5" s="20" t="n">
        <v>2</v>
      </c>
      <c r="I5" s="20" t="n">
        <v>2</v>
      </c>
      <c r="J5" s="20" t="n">
        <v>3</v>
      </c>
      <c r="K5" s="20" t="n">
        <v>2</v>
      </c>
      <c r="L5" s="20" t="n">
        <v>2</v>
      </c>
      <c r="M5" s="20" t="n">
        <v>3</v>
      </c>
      <c r="N5" s="20" t="n">
        <v>4</v>
      </c>
      <c r="O5" s="5">
        <f>IF((Finans!K5+Finans!L5)/2&lt;14,5,IF((Finans!K5+Finans!L5)/2&lt;28,4,IF((Finans!K5+Finans!L5)/2&lt;=56,3,IF((Finans!K5+Finans!L5)/2&lt;=90,2,1))))</f>
        <v>2</v>
      </c>
      <c r="P5" s="5">
        <f>IF(Finans!I5/Hedef!$C$7&lt;1,5,IF(Finans!I5/Hedef!$C$7&lt;3,4,IF(Finans!I5/Hedef!$C$7&lt;=5,3,IF(Finans!I5/Hedef!$C$7&lt;=8,2,1))))</f>
        <v>3</v>
      </c>
      <c r="Q5" s="20" t="n">
        <v>3</v>
      </c>
      <c r="R5" s="20" t="n">
        <v>4</v>
      </c>
      <c r="S5" s="20" t="n">
        <v>3</v>
      </c>
      <c r="T5" s="20" t="n">
        <v>4</v>
      </c>
      <c r="U5" s="5">
        <f>IF(Finans!AI5&lt;=0,0,IF(Finans!AI5&lt;=5,5,IF(Finans!AI5&lt;10,4,IF(Finans!AI5&lt;=30,3,IF(Finans!AI5&lt;100,2,1)))))</f>
        <v>1</v>
      </c>
      <c r="V5" s="20" t="n">
        <v>5</v>
      </c>
      <c r="W5" s="20" t="n">
        <v>3</v>
      </c>
      <c r="X5" s="20" t="n">
        <v>3</v>
      </c>
      <c r="Y5" s="20" t="n">
        <v>2</v>
      </c>
      <c r="Z5" s="20" t="n">
        <v>3</v>
      </c>
      <c r="AA5" s="20" t="n">
        <v>4</v>
      </c>
      <c r="AB5" s="20" t="n">
        <v>4</v>
      </c>
      <c r="AD5" s="20" t="n">
        <v>3</v>
      </c>
      <c r="AE5" s="20" t="n">
        <v>1</v>
      </c>
      <c r="AF5" s="20" t="n">
        <v>4</v>
      </c>
      <c r="AG5" s="20" t="n">
        <v>4</v>
      </c>
    </row>
    <row r="6">
      <c r="A6" s="7" t="str">
        <f>Secenekler!A6</f>
        <v>zabuno-b</v>
      </c>
      <c r="B6" s="7" t="str">
        <f>Secenekler!C6</f>
        <v>Zincir planı: çok şubeli kahve zinciri pilotu</v>
      </c>
      <c r="C6" s="20" t="n">
        <v>3</v>
      </c>
      <c r="D6" s="20" t="n">
        <v>3</v>
      </c>
      <c r="E6" s="20" t="n">
        <v>2</v>
      </c>
      <c r="F6" s="20" t="n">
        <v>3</v>
      </c>
      <c r="G6" s="20" t="n">
        <v>2</v>
      </c>
      <c r="H6" s="20" t="n">
        <v>1</v>
      </c>
      <c r="I6" s="20" t="n">
        <v>2</v>
      </c>
      <c r="J6" s="20" t="n">
        <v>2</v>
      </c>
      <c r="K6" s="20" t="n">
        <v>3</v>
      </c>
      <c r="L6" s="20" t="n">
        <v>2</v>
      </c>
      <c r="M6" s="20" t="n">
        <v>3</v>
      </c>
      <c r="N6" s="20" t="n">
        <v>2</v>
      </c>
      <c r="O6" s="5">
        <f>IF((Finans!K6+Finans!L6)/2&lt;14,5,IF((Finans!K6+Finans!L6)/2&lt;28,4,IF((Finans!K6+Finans!L6)/2&lt;=56,3,IF((Finans!K6+Finans!L6)/2&lt;=90,2,1))))</f>
        <v>1</v>
      </c>
      <c r="P6" s="5">
        <f>IF(Finans!I6/Hedef!$C$7&lt;1,5,IF(Finans!I6/Hedef!$C$7&lt;3,4,IF(Finans!I6/Hedef!$C$7&lt;=5,3,IF(Finans!I6/Hedef!$C$7&lt;=8,2,1))))</f>
        <v>1</v>
      </c>
      <c r="Q6" s="20" t="n">
        <v>1</v>
      </c>
      <c r="R6" s="20" t="n">
        <v>3</v>
      </c>
      <c r="S6" s="20" t="n">
        <v>1</v>
      </c>
      <c r="T6" s="20" t="n">
        <v>3</v>
      </c>
      <c r="U6" s="5">
        <f>IF(Finans!AI6&lt;=0,0,IF(Finans!AI6&lt;=5,5,IF(Finans!AI6&lt;10,4,IF(Finans!AI6&lt;=30,3,IF(Finans!AI6&lt;100,2,1)))))</f>
        <v>2</v>
      </c>
      <c r="V6" s="20" t="n">
        <v>5</v>
      </c>
      <c r="W6" s="20" t="n">
        <v>5</v>
      </c>
      <c r="X6" s="20" t="n">
        <v>3</v>
      </c>
      <c r="Y6" s="20" t="n">
        <v>1</v>
      </c>
      <c r="Z6" s="20" t="n">
        <v>2</v>
      </c>
      <c r="AA6" s="20" t="n">
        <v>3</v>
      </c>
      <c r="AB6" s="20" t="n">
        <v>2</v>
      </c>
      <c r="AD6" s="20" t="n">
        <v>2</v>
      </c>
      <c r="AE6" s="20" t="n">
        <v>2</v>
      </c>
      <c r="AF6" s="20" t="n">
        <v>3</v>
      </c>
      <c r="AG6" s="20" t="n">
        <v>4</v>
      </c>
    </row>
    <row r="7">
      <c r="A7" s="7" t="str">
        <f>Secenekler!A7</f>
        <v>zabuno-c</v>
      </c>
      <c r="B7" s="7" t="str">
        <f>Secenekler!C7</f>
        <v>Restoran paneli modül uyarlama hizmeti</v>
      </c>
      <c r="C7" s="20" t="n">
        <v>2</v>
      </c>
      <c r="D7" s="20" t="n">
        <v>2</v>
      </c>
      <c r="E7" s="20" t="n">
        <v>1</v>
      </c>
      <c r="F7" s="20" t="n">
        <v>2</v>
      </c>
      <c r="G7" s="20" t="n">
        <v>2</v>
      </c>
      <c r="H7" s="20" t="n">
        <v>1</v>
      </c>
      <c r="I7" s="20" t="n">
        <v>1</v>
      </c>
      <c r="J7" s="20" t="n">
        <v>1</v>
      </c>
      <c r="K7" s="20" t="n">
        <v>2</v>
      </c>
      <c r="L7" s="20" t="n">
        <v>1</v>
      </c>
      <c r="M7" s="20" t="n">
        <v>2</v>
      </c>
      <c r="N7" s="20" t="n">
        <v>2</v>
      </c>
      <c r="O7" s="5">
        <f>IF((Finans!K7+Finans!L7)/2&lt;14,5,IF((Finans!K7+Finans!L7)/2&lt;28,4,IF((Finans!K7+Finans!L7)/2&lt;=56,3,IF((Finans!K7+Finans!L7)/2&lt;=90,2,1))))</f>
        <v>2</v>
      </c>
      <c r="P7" s="5">
        <f>IF(Finans!I7/Hedef!$C$7&lt;1,5,IF(Finans!I7/Hedef!$C$7&lt;3,4,IF(Finans!I7/Hedef!$C$7&lt;=5,3,IF(Finans!I7/Hedef!$C$7&lt;=8,2,1))))</f>
        <v>3</v>
      </c>
      <c r="Q7" s="20" t="n">
        <v>3</v>
      </c>
      <c r="R7" s="20" t="n">
        <v>2</v>
      </c>
      <c r="S7" s="20" t="n">
        <v>1</v>
      </c>
      <c r="T7" s="20" t="n">
        <v>2</v>
      </c>
      <c r="U7" s="5">
        <f>IF(Finans!AI7&lt;=0,0,IF(Finans!AI7&lt;=5,5,IF(Finans!AI7&lt;10,4,IF(Finans!AI7&lt;=30,3,IF(Finans!AI7&lt;100,2,1)))))</f>
        <v>5</v>
      </c>
      <c r="V7" s="20" t="n">
        <v>2</v>
      </c>
      <c r="W7" s="20" t="n">
        <v>2</v>
      </c>
      <c r="X7" s="20" t="n">
        <v>3</v>
      </c>
      <c r="Y7" s="20" t="n">
        <v>2</v>
      </c>
      <c r="Z7" s="20" t="n">
        <v>2</v>
      </c>
      <c r="AA7" s="20" t="n">
        <v>3</v>
      </c>
      <c r="AB7" s="20" t="n">
        <v>2</v>
      </c>
      <c r="AD7" s="20" t="n">
        <v>2</v>
      </c>
      <c r="AE7" s="20" t="n">
        <v>1</v>
      </c>
      <c r="AF7" s="20" t="n">
        <v>1</v>
      </c>
      <c r="AG7" s="20" t="n">
        <v>2</v>
      </c>
    </row>
    <row r="8">
      <c r="A8" s="7" t="str">
        <f>Secenekler!A8</f>
        <v>parselq-a</v>
      </c>
      <c r="B8" s="7" t="str">
        <f>Secenekler!C8</f>
        <v>ParselQ Rapor: tek parsel bilgi notu (bireysel alıcı)</v>
      </c>
      <c r="C8" s="20" t="n">
        <v>3</v>
      </c>
      <c r="D8" s="20" t="n">
        <v>3</v>
      </c>
      <c r="E8" s="20" t="n">
        <v>4</v>
      </c>
      <c r="F8" s="20" t="n">
        <v>4</v>
      </c>
      <c r="G8" s="20" t="n">
        <v>4</v>
      </c>
      <c r="H8" s="20" t="n">
        <v>3</v>
      </c>
      <c r="I8" s="20" t="n">
        <v>1</v>
      </c>
      <c r="J8" s="20" t="n">
        <v>3</v>
      </c>
      <c r="K8" s="20" t="n">
        <v>3</v>
      </c>
      <c r="L8" s="20" t="n">
        <v>2</v>
      </c>
      <c r="M8" s="20" t="n">
        <v>3</v>
      </c>
      <c r="N8" s="20" t="n">
        <v>3</v>
      </c>
      <c r="O8" s="5">
        <f>IF((Finans!K8+Finans!L8)/2&lt;14,5,IF((Finans!K8+Finans!L8)/2&lt;28,4,IF((Finans!K8+Finans!L8)/2&lt;=56,3,IF((Finans!K8+Finans!L8)/2&lt;=90,2,1))))</f>
        <v>2</v>
      </c>
      <c r="P8" s="5">
        <f>IF(Finans!I8/Hedef!$C$7&lt;1,5,IF(Finans!I8/Hedef!$C$7&lt;3,4,IF(Finans!I8/Hedef!$C$7&lt;=5,3,IF(Finans!I8/Hedef!$C$7&lt;=8,2,1))))</f>
        <v>1</v>
      </c>
      <c r="Q8" s="20" t="n">
        <v>4</v>
      </c>
      <c r="R8" s="20" t="n">
        <v>3</v>
      </c>
      <c r="S8" s="20" t="n">
        <v>4</v>
      </c>
      <c r="T8" s="20" t="n">
        <v>4</v>
      </c>
      <c r="U8" s="5">
        <f>IF(Finans!AI8&lt;=0,0,IF(Finans!AI8&lt;=5,5,IF(Finans!AI8&lt;10,4,IF(Finans!AI8&lt;=30,3,IF(Finans!AI8&lt;100,2,1)))))</f>
        <v>1</v>
      </c>
      <c r="V8" s="20" t="n">
        <v>2</v>
      </c>
      <c r="W8" s="20" t="n">
        <v>3</v>
      </c>
      <c r="X8" s="20" t="n">
        <v>3</v>
      </c>
      <c r="Y8" s="20" t="n">
        <v>2</v>
      </c>
      <c r="Z8" s="20" t="n">
        <v>3</v>
      </c>
      <c r="AA8" s="20" t="n">
        <v>2</v>
      </c>
      <c r="AB8" s="20" t="n">
        <v>4</v>
      </c>
      <c r="AD8" s="20" t="n">
        <v>3</v>
      </c>
      <c r="AE8" s="20" t="n">
        <v>2</v>
      </c>
      <c r="AF8" s="20" t="n">
        <v>3</v>
      </c>
      <c r="AG8" s="20" t="n">
        <v>3</v>
      </c>
    </row>
    <row r="9">
      <c r="A9" s="7" t="str">
        <f>Secenekler!A9</f>
        <v>parselq-b</v>
      </c>
      <c r="B9" s="7" t="str">
        <f>Secenekler!C9</f>
        <v>Parsel Kartı: emlakçıya arsa ilanı için güven kartı aboneliği</v>
      </c>
      <c r="C9" s="20" t="n">
        <v>2</v>
      </c>
      <c r="D9" s="20" t="n">
        <v>3</v>
      </c>
      <c r="E9" s="20" t="n">
        <v>2</v>
      </c>
      <c r="F9" s="20" t="n">
        <v>3</v>
      </c>
      <c r="G9" s="20" t="n">
        <v>4</v>
      </c>
      <c r="H9" s="20" t="n">
        <v>2</v>
      </c>
      <c r="I9" s="20" t="n">
        <v>2</v>
      </c>
      <c r="J9" s="20" t="n">
        <v>1</v>
      </c>
      <c r="K9" s="20" t="n">
        <v>2</v>
      </c>
      <c r="L9" s="20" t="n">
        <v>4</v>
      </c>
      <c r="M9" s="20" t="n">
        <v>3</v>
      </c>
      <c r="N9" s="20" t="n">
        <v>3</v>
      </c>
      <c r="O9" s="5">
        <f>IF((Finans!K9+Finans!L9)/2&lt;14,5,IF((Finans!K9+Finans!L9)/2&lt;28,4,IF((Finans!K9+Finans!L9)/2&lt;=56,3,IF((Finans!K9+Finans!L9)/2&lt;=90,2,1))))</f>
        <v>2</v>
      </c>
      <c r="P9" s="5">
        <f>IF(Finans!I9/Hedef!$C$7&lt;1,5,IF(Finans!I9/Hedef!$C$7&lt;3,4,IF(Finans!I9/Hedef!$C$7&lt;=5,3,IF(Finans!I9/Hedef!$C$7&lt;=8,2,1))))</f>
        <v>3</v>
      </c>
      <c r="Q9" s="20" t="n">
        <v>4</v>
      </c>
      <c r="R9" s="20" t="n">
        <v>3</v>
      </c>
      <c r="S9" s="20" t="n">
        <v>3</v>
      </c>
      <c r="T9" s="20" t="n">
        <v>4</v>
      </c>
      <c r="U9" s="5">
        <f>IF(Finans!AI9&lt;=0,0,IF(Finans!AI9&lt;=5,5,IF(Finans!AI9&lt;10,4,IF(Finans!AI9&lt;=30,3,IF(Finans!AI9&lt;100,2,1)))))</f>
        <v>1</v>
      </c>
      <c r="V9" s="20" t="n">
        <v>4</v>
      </c>
      <c r="W9" s="20" t="n">
        <v>3</v>
      </c>
      <c r="X9" s="20" t="n">
        <v>2</v>
      </c>
      <c r="Y9" s="20" t="n">
        <v>3</v>
      </c>
      <c r="Z9" s="20" t="n">
        <v>2</v>
      </c>
      <c r="AA9" s="20" t="n">
        <v>2</v>
      </c>
      <c r="AB9" s="20" t="n">
        <v>4</v>
      </c>
      <c r="AD9" s="20" t="n">
        <v>2</v>
      </c>
      <c r="AE9" s="20" t="n">
        <v>2</v>
      </c>
      <c r="AF9" s="20" t="n">
        <v>3</v>
      </c>
      <c r="AG9" s="20" t="n">
        <v>4</v>
      </c>
    </row>
    <row r="10">
      <c r="A10" s="7" t="str">
        <f>Secenekler!A10</f>
        <v>parselq-c</v>
      </c>
      <c r="B10" s="7" t="str">
        <f>Secenekler!C10</f>
        <v>Uzmanlı karar dosyası: kaynak izli arsa raporu (danışmanlık ofisi)</v>
      </c>
      <c r="C10" s="20" t="n">
        <v>3</v>
      </c>
      <c r="D10" s="20" t="n">
        <v>3</v>
      </c>
      <c r="E10" s="20" t="n">
        <v>2</v>
      </c>
      <c r="F10" s="20" t="n">
        <v>3</v>
      </c>
      <c r="G10" s="20" t="n">
        <v>3</v>
      </c>
      <c r="H10" s="20" t="n">
        <v>1</v>
      </c>
      <c r="I10" s="20" t="n">
        <v>1</v>
      </c>
      <c r="J10" s="20" t="n">
        <v>2</v>
      </c>
      <c r="K10" s="20" t="n">
        <v>2</v>
      </c>
      <c r="L10" s="20" t="n">
        <v>2</v>
      </c>
      <c r="M10" s="20" t="n">
        <v>2</v>
      </c>
      <c r="N10" s="20" t="n">
        <v>2</v>
      </c>
      <c r="O10" s="5">
        <f>IF((Finans!K10+Finans!L10)/2&lt;14,5,IF((Finans!K10+Finans!L10)/2&lt;28,4,IF((Finans!K10+Finans!L10)/2&lt;=56,3,IF((Finans!K10+Finans!L10)/2&lt;=90,2,1))))</f>
        <v>2</v>
      </c>
      <c r="P10" s="5">
        <f>IF(Finans!I10/Hedef!$C$7&lt;1,5,IF(Finans!I10/Hedef!$C$7&lt;3,4,IF(Finans!I10/Hedef!$C$7&lt;=5,3,IF(Finans!I10/Hedef!$C$7&lt;=8,2,1))))</f>
        <v>3</v>
      </c>
      <c r="Q10" s="20" t="n">
        <v>2</v>
      </c>
      <c r="R10" s="20" t="n">
        <v>2</v>
      </c>
      <c r="S10" s="20" t="n">
        <v>1</v>
      </c>
      <c r="T10" s="20" t="n">
        <v>2</v>
      </c>
      <c r="U10" s="5">
        <f>IF(Finans!AI10&lt;=0,0,IF(Finans!AI10&lt;=5,5,IF(Finans!AI10&lt;10,4,IF(Finans!AI10&lt;=30,3,IF(Finans!AI10&lt;100,2,1)))))</f>
        <v>3</v>
      </c>
      <c r="V10" s="20" t="n">
        <v>4</v>
      </c>
      <c r="W10" s="20" t="n">
        <v>2</v>
      </c>
      <c r="X10" s="20" t="n">
        <v>2</v>
      </c>
      <c r="Y10" s="20" t="n">
        <v>2</v>
      </c>
      <c r="Z10" s="20" t="n">
        <v>2</v>
      </c>
      <c r="AA10" s="20" t="n">
        <v>2</v>
      </c>
      <c r="AB10" s="20" t="n">
        <v>2</v>
      </c>
      <c r="AD10" s="20" t="n">
        <v>2</v>
      </c>
      <c r="AE10" s="20" t="n">
        <v>2</v>
      </c>
      <c r="AF10" s="20" t="n">
        <v>2</v>
      </c>
      <c r="AG10" s="20" t="n">
        <v>3</v>
      </c>
    </row>
    <row r="11">
      <c r="A11" s="7" t="str">
        <f>Secenekler!A11</f>
        <v>destektesvik-a</v>
      </c>
      <c r="B11" s="7" t="str">
        <f>Secenekler!C11</f>
        <v>Uzman onaylı ön değerlendirme raporu (KOBİ)</v>
      </c>
      <c r="C11" s="20" t="n">
        <v>3</v>
      </c>
      <c r="D11" s="20" t="n">
        <v>4</v>
      </c>
      <c r="E11" s="20" t="n">
        <v>4</v>
      </c>
      <c r="F11" s="20" t="n">
        <v>5</v>
      </c>
      <c r="G11" s="20" t="n">
        <v>4</v>
      </c>
      <c r="H11" s="20" t="n">
        <v>3</v>
      </c>
      <c r="I11" s="20" t="n">
        <v>2</v>
      </c>
      <c r="J11" s="20" t="n">
        <v>3</v>
      </c>
      <c r="K11" s="20" t="n">
        <v>3</v>
      </c>
      <c r="L11" s="20" t="n">
        <v>2</v>
      </c>
      <c r="M11" s="20" t="n">
        <v>3</v>
      </c>
      <c r="N11" s="20" t="n">
        <v>3</v>
      </c>
      <c r="O11" s="5">
        <f>IF((Finans!K11+Finans!L11)/2&lt;14,5,IF((Finans!K11+Finans!L11)/2&lt;28,4,IF((Finans!K11+Finans!L11)/2&lt;=56,3,IF((Finans!K11+Finans!L11)/2&lt;=90,2,1))))</f>
        <v>2</v>
      </c>
      <c r="P11" s="5">
        <f>IF(Finans!I11/Hedef!$C$7&lt;1,5,IF(Finans!I11/Hedef!$C$7&lt;3,4,IF(Finans!I11/Hedef!$C$7&lt;=5,3,IF(Finans!I11/Hedef!$C$7&lt;=8,2,1))))</f>
        <v>2</v>
      </c>
      <c r="Q11" s="20" t="n">
        <v>4</v>
      </c>
      <c r="R11" s="20" t="n">
        <v>3</v>
      </c>
      <c r="S11" s="20" t="n">
        <v>2</v>
      </c>
      <c r="T11" s="20" t="n">
        <v>4</v>
      </c>
      <c r="U11" s="5">
        <f>IF(Finans!AI11&lt;=0,0,IF(Finans!AI11&lt;=5,5,IF(Finans!AI11&lt;10,4,IF(Finans!AI11&lt;=30,3,IF(Finans!AI11&lt;100,2,1)))))</f>
        <v>1</v>
      </c>
      <c r="V11" s="20" t="n">
        <v>3</v>
      </c>
      <c r="W11" s="20" t="n">
        <v>2</v>
      </c>
      <c r="X11" s="20" t="n">
        <v>2</v>
      </c>
      <c r="Y11" s="20" t="n">
        <v>2</v>
      </c>
      <c r="Z11" s="20" t="n">
        <v>3</v>
      </c>
      <c r="AA11" s="20" t="n">
        <v>3</v>
      </c>
      <c r="AB11" s="20" t="n">
        <v>4</v>
      </c>
      <c r="AD11" s="20" t="n">
        <v>4</v>
      </c>
      <c r="AE11" s="20" t="n">
        <v>2</v>
      </c>
      <c r="AF11" s="20" t="n">
        <v>2</v>
      </c>
      <c r="AG11" s="20" t="n">
        <v>3</v>
      </c>
    </row>
    <row r="12">
      <c r="A12" s="7" t="str">
        <f>Secenekler!A12</f>
        <v>destektesvik-b</v>
      </c>
      <c r="B12" s="7" t="str">
        <f>Secenekler!C12</f>
        <v>Mali müşavir ve danışman portföy tarama paketi</v>
      </c>
      <c r="C12" s="20" t="n">
        <v>3</v>
      </c>
      <c r="D12" s="20" t="n">
        <v>3</v>
      </c>
      <c r="E12" s="20" t="n">
        <v>3</v>
      </c>
      <c r="F12" s="20" t="n">
        <v>3</v>
      </c>
      <c r="G12" s="20" t="n">
        <v>4</v>
      </c>
      <c r="H12" s="20" t="n">
        <v>2</v>
      </c>
      <c r="I12" s="20" t="n">
        <v>2</v>
      </c>
      <c r="J12" s="20" t="n">
        <v>2</v>
      </c>
      <c r="K12" s="20" t="n">
        <v>3</v>
      </c>
      <c r="L12" s="20" t="n">
        <v>3</v>
      </c>
      <c r="M12" s="20" t="n">
        <v>4</v>
      </c>
      <c r="N12" s="20" t="n">
        <v>3</v>
      </c>
      <c r="O12" s="5">
        <f>IF((Finans!K12+Finans!L12)/2&lt;14,5,IF((Finans!K12+Finans!L12)/2&lt;28,4,IF((Finans!K12+Finans!L12)/2&lt;=56,3,IF((Finans!K12+Finans!L12)/2&lt;=90,2,1))))</f>
        <v>1</v>
      </c>
      <c r="P12" s="5">
        <f>IF(Finans!I12/Hedef!$C$7&lt;1,5,IF(Finans!I12/Hedef!$C$7&lt;3,4,IF(Finans!I12/Hedef!$C$7&lt;=5,3,IF(Finans!I12/Hedef!$C$7&lt;=8,2,1))))</f>
        <v>1</v>
      </c>
      <c r="Q12" s="20" t="n">
        <v>2</v>
      </c>
      <c r="R12" s="20" t="n">
        <v>3</v>
      </c>
      <c r="S12" s="20" t="n">
        <v>2</v>
      </c>
      <c r="T12" s="20" t="n">
        <v>2</v>
      </c>
      <c r="U12" s="5">
        <f>IF(Finans!AI12&lt;=0,0,IF(Finans!AI12&lt;=5,5,IF(Finans!AI12&lt;10,4,IF(Finans!AI12&lt;=30,3,IF(Finans!AI12&lt;100,2,1)))))</f>
        <v>1</v>
      </c>
      <c r="V12" s="20" t="n">
        <v>4</v>
      </c>
      <c r="W12" s="20" t="n">
        <v>4</v>
      </c>
      <c r="X12" s="20" t="n">
        <v>2</v>
      </c>
      <c r="Y12" s="20" t="n">
        <v>2</v>
      </c>
      <c r="Z12" s="20" t="n">
        <v>3</v>
      </c>
      <c r="AA12" s="20" t="n">
        <v>2</v>
      </c>
      <c r="AB12" s="20" t="n">
        <v>3</v>
      </c>
      <c r="AD12" s="20" t="n">
        <v>3</v>
      </c>
      <c r="AE12" s="20" t="n">
        <v>3</v>
      </c>
      <c r="AF12" s="20" t="n">
        <v>4</v>
      </c>
      <c r="AG12" s="20" t="n">
        <v>3</v>
      </c>
    </row>
    <row r="13">
      <c r="A13" s="7" t="str">
        <f>Secenekler!A13</f>
        <v>destektesvik-c</v>
      </c>
      <c r="B13" s="7" t="str">
        <f>Secenekler!C13</f>
        <v>Oda ve OSB üye taraması sponsorluk paketi</v>
      </c>
      <c r="C13" s="20" t="n">
        <v>2</v>
      </c>
      <c r="D13" s="20" t="n">
        <v>2</v>
      </c>
      <c r="E13" s="20" t="n">
        <v>2</v>
      </c>
      <c r="F13" s="20" t="n">
        <v>2</v>
      </c>
      <c r="G13" s="20" t="n">
        <v>1</v>
      </c>
      <c r="H13" s="20" t="n">
        <v>1</v>
      </c>
      <c r="I13" s="20" t="n">
        <v>1</v>
      </c>
      <c r="J13" s="20" t="n">
        <v>1</v>
      </c>
      <c r="K13" s="20" t="n">
        <v>2</v>
      </c>
      <c r="L13" s="20" t="n">
        <v>4</v>
      </c>
      <c r="M13" s="20" t="n">
        <v>3</v>
      </c>
      <c r="N13" s="20" t="n">
        <v>2</v>
      </c>
      <c r="O13" s="5">
        <f>IF((Finans!K13+Finans!L13)/2&lt;14,5,IF((Finans!K13+Finans!L13)/2&lt;28,4,IF((Finans!K13+Finans!L13)/2&lt;=56,3,IF((Finans!K13+Finans!L13)/2&lt;=90,2,1))))</f>
        <v>1</v>
      </c>
      <c r="P13" s="5">
        <f>IF(Finans!I13/Hedef!$C$7&lt;1,5,IF(Finans!I13/Hedef!$C$7&lt;3,4,IF(Finans!I13/Hedef!$C$7&lt;=5,3,IF(Finans!I13/Hedef!$C$7&lt;=8,2,1))))</f>
        <v>1</v>
      </c>
      <c r="Q13" s="20" t="n">
        <v>1</v>
      </c>
      <c r="R13" s="20" t="n">
        <v>2</v>
      </c>
      <c r="S13" s="20" t="n">
        <v>1</v>
      </c>
      <c r="T13" s="20" t="n">
        <v>2</v>
      </c>
      <c r="U13" s="5">
        <f>IF(Finans!AI13&lt;=0,0,IF(Finans!AI13&lt;=5,5,IF(Finans!AI13&lt;10,4,IF(Finans!AI13&lt;=30,3,IF(Finans!AI13&lt;100,2,1)))))</f>
        <v>5</v>
      </c>
      <c r="V13" s="20" t="n">
        <v>3</v>
      </c>
      <c r="W13" s="20" t="n">
        <v>3</v>
      </c>
      <c r="X13" s="20" t="n">
        <v>2</v>
      </c>
      <c r="Y13" s="20" t="n">
        <v>2</v>
      </c>
      <c r="Z13" s="20" t="n">
        <v>2</v>
      </c>
      <c r="AA13" s="20" t="n">
        <v>2</v>
      </c>
      <c r="AB13" s="20" t="n">
        <v>2</v>
      </c>
      <c r="AD13" s="20" t="n">
        <v>2</v>
      </c>
      <c r="AE13" s="20" t="n">
        <v>3</v>
      </c>
      <c r="AF13" s="20" t="n">
        <v>2</v>
      </c>
      <c r="AG13" s="20" t="n">
        <v>3</v>
      </c>
    </row>
    <row r="14">
      <c r="A14" s="7" t="str">
        <f>Secenekler!A14</f>
        <v>asgari-iscilik-a</v>
      </c>
      <c r="B14" s="7" t="str">
        <f>Secenekler!C14</f>
        <v>Bir inşaat firmasına sabit fiyatlı uyum yazılımı projesi</v>
      </c>
      <c r="C14" s="20" t="n">
        <v>5</v>
      </c>
      <c r="D14" s="20" t="n">
        <v>5</v>
      </c>
      <c r="E14" s="20" t="n">
        <v>4</v>
      </c>
      <c r="F14" s="20" t="n">
        <v>4</v>
      </c>
      <c r="G14" s="20" t="n">
        <v>2</v>
      </c>
      <c r="H14" s="20" t="n">
        <v>2</v>
      </c>
      <c r="I14" s="20" t="n">
        <v>2</v>
      </c>
      <c r="J14" s="20" t="n">
        <v>1</v>
      </c>
      <c r="K14" s="20" t="n">
        <v>3</v>
      </c>
      <c r="L14" s="20" t="n">
        <v>1</v>
      </c>
      <c r="M14" s="20" t="n">
        <v>3</v>
      </c>
      <c r="N14" s="20" t="n">
        <v>1</v>
      </c>
      <c r="O14" s="5">
        <f>IF((Finans!K14+Finans!L14)/2&lt;14,5,IF((Finans!K14+Finans!L14)/2&lt;28,4,IF((Finans!K14+Finans!L14)/2&lt;=56,3,IF((Finans!K14+Finans!L14)/2&lt;=90,2,1))))</f>
        <v>2</v>
      </c>
      <c r="P14" s="5">
        <f>IF(Finans!I14/Hedef!$C$7&lt;1,5,IF(Finans!I14/Hedef!$C$7&lt;3,4,IF(Finans!I14/Hedef!$C$7&lt;=5,3,IF(Finans!I14/Hedef!$C$7&lt;=8,2,1))))</f>
        <v>3</v>
      </c>
      <c r="Q14" s="20" t="n">
        <v>2</v>
      </c>
      <c r="R14" s="20" t="n">
        <v>1</v>
      </c>
      <c r="S14" s="20" t="n">
        <v>1</v>
      </c>
      <c r="T14" s="20" t="n">
        <v>1</v>
      </c>
      <c r="U14" s="5">
        <f>IF(Finans!AI14&lt;=0,0,IF(Finans!AI14&lt;=5,5,IF(Finans!AI14&lt;10,4,IF(Finans!AI14&lt;=30,3,IF(Finans!AI14&lt;100,2,1)))))</f>
        <v>5</v>
      </c>
      <c r="V14" s="20" t="n">
        <v>3</v>
      </c>
      <c r="W14" s="20" t="n">
        <v>3</v>
      </c>
      <c r="X14" s="20" t="n">
        <v>3</v>
      </c>
      <c r="Y14" s="20" t="n">
        <v>3</v>
      </c>
      <c r="Z14" s="20" t="n">
        <v>1</v>
      </c>
      <c r="AA14" s="20" t="n">
        <v>1</v>
      </c>
      <c r="AB14" s="20" t="n">
        <v>2</v>
      </c>
      <c r="AD14" s="20" t="n">
        <v>3</v>
      </c>
      <c r="AE14" s="20" t="n">
        <v>3</v>
      </c>
      <c r="AF14" s="20" t="n">
        <v>2</v>
      </c>
      <c r="AG14" s="20" t="n">
        <v>2</v>
      </c>
    </row>
    <row r="15">
      <c r="A15" s="7" t="str">
        <f>Secenekler!A15</f>
        <v>asgari-iscilik-b</v>
      </c>
      <c r="B15" s="7" t="str">
        <f>Secenekler!C15</f>
        <v>Mali müşavir ve yükleniciye aylık abonelik (çok kiracılı platform)</v>
      </c>
      <c r="C15" s="20" t="n">
        <v>4</v>
      </c>
      <c r="D15" s="20" t="n">
        <v>4</v>
      </c>
      <c r="E15" s="20" t="n">
        <v>3</v>
      </c>
      <c r="F15" s="20" t="n">
        <v>3</v>
      </c>
      <c r="G15" s="20" t="n">
        <v>4</v>
      </c>
      <c r="H15" s="20" t="n">
        <v>2</v>
      </c>
      <c r="I15" s="20" t="n">
        <v>2</v>
      </c>
      <c r="J15" s="20" t="n">
        <v>3</v>
      </c>
      <c r="K15" s="20" t="n">
        <v>3</v>
      </c>
      <c r="L15" s="20" t="n">
        <v>3</v>
      </c>
      <c r="M15" s="20" t="n">
        <v>4</v>
      </c>
      <c r="N15" s="20" t="n">
        <v>3</v>
      </c>
      <c r="O15" s="5">
        <f>IF((Finans!K15+Finans!L15)/2&lt;14,5,IF((Finans!K15+Finans!L15)/2&lt;28,4,IF((Finans!K15+Finans!L15)/2&lt;=56,3,IF((Finans!K15+Finans!L15)/2&lt;=90,2,1))))</f>
        <v>1</v>
      </c>
      <c r="P15" s="5">
        <f>IF(Finans!I15/Hedef!$C$7&lt;1,5,IF(Finans!I15/Hedef!$C$7&lt;3,4,IF(Finans!I15/Hedef!$C$7&lt;=5,3,IF(Finans!I15/Hedef!$C$7&lt;=8,2,1))))</f>
        <v>1</v>
      </c>
      <c r="Q15" s="20" t="n">
        <v>2</v>
      </c>
      <c r="R15" s="20" t="n">
        <v>3</v>
      </c>
      <c r="S15" s="20" t="n">
        <v>3</v>
      </c>
      <c r="T15" s="20" t="n">
        <v>2</v>
      </c>
      <c r="U15" s="5">
        <f>IF(Finans!AI15&lt;=0,0,IF(Finans!AI15&lt;=5,5,IF(Finans!AI15&lt;10,4,IF(Finans!AI15&lt;=30,3,IF(Finans!AI15&lt;100,2,1)))))</f>
        <v>1</v>
      </c>
      <c r="V15" s="20" t="n">
        <v>4</v>
      </c>
      <c r="W15" s="20" t="n">
        <v>4</v>
      </c>
      <c r="X15" s="20" t="n">
        <v>2</v>
      </c>
      <c r="Y15" s="20" t="n">
        <v>3</v>
      </c>
      <c r="Z15" s="20" t="n">
        <v>3</v>
      </c>
      <c r="AA15" s="20" t="n">
        <v>1</v>
      </c>
      <c r="AB15" s="20" t="n">
        <v>4</v>
      </c>
      <c r="AD15" s="20" t="n">
        <v>3</v>
      </c>
      <c r="AE15" s="20" t="n">
        <v>3</v>
      </c>
      <c r="AF15" s="20" t="n">
        <v>4</v>
      </c>
      <c r="AG15" s="20" t="n">
        <v>3</v>
      </c>
    </row>
    <row r="16">
      <c r="A16" s="7" t="str">
        <f>Secenekler!A16</f>
        <v>asgari-iscilik-c</v>
      </c>
      <c r="B16" s="7" t="str">
        <f>Secenekler!C16</f>
        <v>Asgari işçilik hesap ve dosya kontrol raporu (uzman teyitli)</v>
      </c>
      <c r="C16" s="20" t="n">
        <v>4</v>
      </c>
      <c r="D16" s="20" t="n">
        <v>5</v>
      </c>
      <c r="E16" s="20" t="n">
        <v>3</v>
      </c>
      <c r="F16" s="20" t="n">
        <v>4</v>
      </c>
      <c r="G16" s="20" t="n">
        <v>4</v>
      </c>
      <c r="H16" s="20" t="n">
        <v>2</v>
      </c>
      <c r="I16" s="20" t="n">
        <v>2</v>
      </c>
      <c r="J16" s="20" t="n">
        <v>2</v>
      </c>
      <c r="K16" s="20" t="n">
        <v>3</v>
      </c>
      <c r="L16" s="20" t="n">
        <v>2</v>
      </c>
      <c r="M16" s="20" t="n">
        <v>3</v>
      </c>
      <c r="N16" s="20" t="n">
        <v>3</v>
      </c>
      <c r="O16" s="5">
        <f>IF((Finans!K16+Finans!L16)/2&lt;14,5,IF((Finans!K16+Finans!L16)/2&lt;28,4,IF((Finans!K16+Finans!L16)/2&lt;=56,3,IF((Finans!K16+Finans!L16)/2&lt;=90,2,1))))</f>
        <v>3</v>
      </c>
      <c r="P16" s="5">
        <f>IF(Finans!I16/Hedef!$C$7&lt;1,5,IF(Finans!I16/Hedef!$C$7&lt;3,4,IF(Finans!I16/Hedef!$C$7&lt;=5,3,IF(Finans!I16/Hedef!$C$7&lt;=8,2,1))))</f>
        <v>4</v>
      </c>
      <c r="Q16" s="20" t="n">
        <v>3</v>
      </c>
      <c r="R16" s="20" t="n">
        <v>3</v>
      </c>
      <c r="S16" s="20" t="n">
        <v>2</v>
      </c>
      <c r="T16" s="20" t="n">
        <v>3</v>
      </c>
      <c r="U16" s="5">
        <f>IF(Finans!AI16&lt;=0,0,IF(Finans!AI16&lt;=5,5,IF(Finans!AI16&lt;10,4,IF(Finans!AI16&lt;=30,3,IF(Finans!AI16&lt;100,2,1)))))</f>
        <v>3</v>
      </c>
      <c r="V16" s="20" t="n">
        <v>3</v>
      </c>
      <c r="W16" s="20" t="n">
        <v>2</v>
      </c>
      <c r="X16" s="20" t="n">
        <v>2</v>
      </c>
      <c r="Y16" s="20" t="n">
        <v>3</v>
      </c>
      <c r="Z16" s="20" t="n">
        <v>3</v>
      </c>
      <c r="AA16" s="20" t="n">
        <v>2</v>
      </c>
      <c r="AB16" s="20" t="n">
        <v>3</v>
      </c>
      <c r="AD16" s="20" t="n">
        <v>3</v>
      </c>
      <c r="AE16" s="20" t="n">
        <v>2</v>
      </c>
      <c r="AF16" s="20" t="n">
        <v>1</v>
      </c>
      <c r="AG16" s="20" t="n">
        <v>3</v>
      </c>
    </row>
    <row r="17">
      <c r="A17" s="7" t="str">
        <f>Secenekler!A17</f>
        <v>zincir-danismanligi-a</v>
      </c>
      <c r="B17" s="7" t="str">
        <f>Secenekler!C17</f>
        <v>90 günlük dijital satış sistemi paketi (çok şubeli zincir)</v>
      </c>
      <c r="C17" s="20" t="n">
        <v>3</v>
      </c>
      <c r="D17" s="20" t="n">
        <v>3</v>
      </c>
      <c r="E17" s="20" t="n">
        <v>4</v>
      </c>
      <c r="F17" s="20" t="n">
        <v>4</v>
      </c>
      <c r="G17" s="20" t="n">
        <v>3</v>
      </c>
      <c r="H17" s="20" t="n">
        <v>2</v>
      </c>
      <c r="I17" s="20" t="n">
        <v>2</v>
      </c>
      <c r="J17" s="20" t="n">
        <v>1</v>
      </c>
      <c r="K17" s="20" t="n">
        <v>3</v>
      </c>
      <c r="L17" s="20" t="n">
        <v>1</v>
      </c>
      <c r="M17" s="20" t="n">
        <v>3</v>
      </c>
      <c r="N17" s="20" t="n">
        <v>2</v>
      </c>
      <c r="O17" s="5">
        <f>IF((Finans!K17+Finans!L17)/2&lt;14,5,IF((Finans!K17+Finans!L17)/2&lt;28,4,IF((Finans!K17+Finans!L17)/2&lt;=56,3,IF((Finans!K17+Finans!L17)/2&lt;=90,2,1))))</f>
        <v>3</v>
      </c>
      <c r="P17" s="5">
        <f>IF(Finans!I17/Hedef!$C$7&lt;1,5,IF(Finans!I17/Hedef!$C$7&lt;3,4,IF(Finans!I17/Hedef!$C$7&lt;=5,3,IF(Finans!I17/Hedef!$C$7&lt;=8,2,1))))</f>
        <v>4</v>
      </c>
      <c r="Q17" s="20" t="n">
        <v>2</v>
      </c>
      <c r="R17" s="20" t="n">
        <v>2</v>
      </c>
      <c r="S17" s="20" t="n">
        <v>1</v>
      </c>
      <c r="T17" s="20" t="n">
        <v>1</v>
      </c>
      <c r="U17" s="5">
        <f>IF(Finans!AI17&lt;=0,0,IF(Finans!AI17&lt;=5,5,IF(Finans!AI17&lt;10,4,IF(Finans!AI17&lt;=30,3,IF(Finans!AI17&lt;100,2,1)))))</f>
        <v>5</v>
      </c>
      <c r="V17" s="20" t="n">
        <v>4</v>
      </c>
      <c r="W17" s="20" t="n">
        <v>3</v>
      </c>
      <c r="X17" s="20" t="n">
        <v>4</v>
      </c>
      <c r="Y17" s="20" t="n">
        <v>3</v>
      </c>
      <c r="Z17" s="20" t="n">
        <v>1</v>
      </c>
      <c r="AA17" s="20" t="n">
        <v>3</v>
      </c>
      <c r="AB17" s="20" t="n">
        <v>2</v>
      </c>
      <c r="AD17" s="20" t="n">
        <v>2</v>
      </c>
      <c r="AE17" s="20" t="n">
        <v>2</v>
      </c>
      <c r="AF17" s="20" t="n">
        <v>1</v>
      </c>
      <c r="AG17" s="20" t="n">
        <v>4</v>
      </c>
    </row>
    <row r="18">
      <c r="A18" s="7" t="str">
        <f>Secenekler!A18</f>
        <v>zincir-danismanligi-b</v>
      </c>
      <c r="B18" s="7" t="str">
        <f>Secenekler!C18</f>
        <v>Kahve zinciri dijital denetim raporu (2 hafta)</v>
      </c>
      <c r="C18" s="20" t="n">
        <v>3</v>
      </c>
      <c r="D18" s="20" t="n">
        <v>2</v>
      </c>
      <c r="E18" s="20" t="n">
        <v>2</v>
      </c>
      <c r="F18" s="20" t="n">
        <v>3</v>
      </c>
      <c r="G18" s="20" t="n">
        <v>3</v>
      </c>
      <c r="H18" s="20" t="n">
        <v>1</v>
      </c>
      <c r="I18" s="20" t="n">
        <v>2</v>
      </c>
      <c r="J18" s="20" t="n">
        <v>1</v>
      </c>
      <c r="K18" s="20" t="n">
        <v>3</v>
      </c>
      <c r="L18" s="20" t="n">
        <v>2</v>
      </c>
      <c r="M18" s="20" t="n">
        <v>3</v>
      </c>
      <c r="N18" s="20" t="n">
        <v>3</v>
      </c>
      <c r="O18" s="5">
        <f>IF((Finans!K18+Finans!L18)/2&lt;14,5,IF((Finans!K18+Finans!L18)/2&lt;28,4,IF((Finans!K18+Finans!L18)/2&lt;=56,3,IF((Finans!K18+Finans!L18)/2&lt;=90,2,1))))</f>
        <v>2</v>
      </c>
      <c r="P18" s="5">
        <f>IF(Finans!I18/Hedef!$C$7&lt;1,5,IF(Finans!I18/Hedef!$C$7&lt;3,4,IF(Finans!I18/Hedef!$C$7&lt;=5,3,IF(Finans!I18/Hedef!$C$7&lt;=8,2,1))))</f>
        <v>4</v>
      </c>
      <c r="Q18" s="20" t="n">
        <v>2</v>
      </c>
      <c r="R18" s="20" t="n">
        <v>3</v>
      </c>
      <c r="S18" s="20" t="n">
        <v>2</v>
      </c>
      <c r="T18" s="20" t="n">
        <v>4</v>
      </c>
      <c r="U18" s="5">
        <f>IF(Finans!AI18&lt;=0,0,IF(Finans!AI18&lt;=5,5,IF(Finans!AI18&lt;10,4,IF(Finans!AI18&lt;=30,3,IF(Finans!AI18&lt;100,2,1)))))</f>
        <v>4</v>
      </c>
      <c r="V18" s="20" t="n">
        <v>2</v>
      </c>
      <c r="W18" s="20" t="n">
        <v>3</v>
      </c>
      <c r="X18" s="20" t="n">
        <v>3</v>
      </c>
      <c r="Y18" s="20" t="n">
        <v>2</v>
      </c>
      <c r="Z18" s="20" t="n">
        <v>2</v>
      </c>
      <c r="AA18" s="20" t="n">
        <v>4</v>
      </c>
      <c r="AB18" s="20" t="n">
        <v>4</v>
      </c>
      <c r="AD18" s="20" t="n">
        <v>2</v>
      </c>
      <c r="AE18" s="20" t="n">
        <v>1</v>
      </c>
      <c r="AF18" s="20" t="n">
        <v>2</v>
      </c>
      <c r="AG18" s="20" t="n">
        <v>3</v>
      </c>
    </row>
    <row r="19">
      <c r="A19" s="7" t="str">
        <f>Secenekler!A19</f>
        <v>zincir-danismanligi-c</v>
      </c>
      <c r="B19" s="7" t="str">
        <f>Secenekler!C19</f>
        <v>Merkezden yönetilen şube QR menüsü (Zabuno zincir planı)</v>
      </c>
      <c r="C19" s="20" t="n">
        <v>3</v>
      </c>
      <c r="D19" s="20" t="n">
        <v>3</v>
      </c>
      <c r="E19" s="20" t="n">
        <v>2</v>
      </c>
      <c r="F19" s="20" t="n">
        <v>3</v>
      </c>
      <c r="G19" s="20" t="n">
        <v>2</v>
      </c>
      <c r="H19" s="20" t="n">
        <v>1</v>
      </c>
      <c r="I19" s="20" t="n">
        <v>2</v>
      </c>
      <c r="J19" s="20" t="n">
        <v>2</v>
      </c>
      <c r="K19" s="20" t="n">
        <v>3</v>
      </c>
      <c r="L19" s="20" t="n">
        <v>2</v>
      </c>
      <c r="M19" s="20" t="n">
        <v>3</v>
      </c>
      <c r="N19" s="20" t="n">
        <v>2</v>
      </c>
      <c r="O19" s="5">
        <f>IF((Finans!K19+Finans!L19)/2&lt;14,5,IF((Finans!K19+Finans!L19)/2&lt;28,4,IF((Finans!K19+Finans!L19)/2&lt;=56,3,IF((Finans!K19+Finans!L19)/2&lt;=90,2,1))))</f>
        <v>1</v>
      </c>
      <c r="P19" s="5">
        <f>IF(Finans!I19/Hedef!$C$7&lt;1,5,IF(Finans!I19/Hedef!$C$7&lt;3,4,IF(Finans!I19/Hedef!$C$7&lt;=5,3,IF(Finans!I19/Hedef!$C$7&lt;=8,2,1))))</f>
        <v>3</v>
      </c>
      <c r="Q19" s="20" t="n">
        <v>1</v>
      </c>
      <c r="R19" s="20" t="n">
        <v>3</v>
      </c>
      <c r="S19" s="20" t="n">
        <v>1</v>
      </c>
      <c r="T19" s="20" t="n">
        <v>3</v>
      </c>
      <c r="U19" s="5">
        <f>IF(Finans!AI19&lt;=0,0,IF(Finans!AI19&lt;=5,5,IF(Finans!AI19&lt;10,4,IF(Finans!AI19&lt;=30,3,IF(Finans!AI19&lt;100,2,1)))))</f>
        <v>3</v>
      </c>
      <c r="V19" s="20" t="n">
        <v>5</v>
      </c>
      <c r="W19" s="20" t="n">
        <v>5</v>
      </c>
      <c r="X19" s="20" t="n">
        <v>3</v>
      </c>
      <c r="Y19" s="20" t="n">
        <v>1</v>
      </c>
      <c r="Z19" s="20" t="n">
        <v>2</v>
      </c>
      <c r="AA19" s="20" t="n">
        <v>3</v>
      </c>
      <c r="AB19" s="20" t="n">
        <v>2</v>
      </c>
      <c r="AD19" s="20" t="n">
        <v>2</v>
      </c>
      <c r="AE19" s="20" t="n">
        <v>2</v>
      </c>
      <c r="AF19" s="20" t="n">
        <v>3</v>
      </c>
      <c r="AG19" s="20" t="n">
        <v>4</v>
      </c>
    </row>
    <row r="20">
      <c r="A20" s="7" t="str">
        <f>Secenekler!A20</f>
        <v>kar-pusulasi-a</v>
      </c>
      <c r="B20" s="7" t="str">
        <f>Secenekler!C20</f>
        <v>Pro yıllık ve Kurucu Paketi (satıcıya yazılım)</v>
      </c>
      <c r="C20" s="20" t="n">
        <v>3</v>
      </c>
      <c r="D20" s="20" t="n">
        <v>3</v>
      </c>
      <c r="E20" s="20" t="n">
        <v>4</v>
      </c>
      <c r="F20" s="20" t="n">
        <v>3</v>
      </c>
      <c r="G20" s="20" t="n">
        <v>5</v>
      </c>
      <c r="H20" s="20" t="n">
        <v>2</v>
      </c>
      <c r="I20" s="20" t="n">
        <v>2</v>
      </c>
      <c r="J20" s="20" t="n">
        <v>3</v>
      </c>
      <c r="K20" s="20" t="n">
        <v>3</v>
      </c>
      <c r="L20" s="20" t="n">
        <v>2</v>
      </c>
      <c r="M20" s="20" t="n">
        <v>3</v>
      </c>
      <c r="N20" s="20" t="n">
        <v>3</v>
      </c>
      <c r="O20" s="5">
        <f>IF((Finans!K20+Finans!L20)/2&lt;14,5,IF((Finans!K20+Finans!L20)/2&lt;28,4,IF((Finans!K20+Finans!L20)/2&lt;=56,3,IF((Finans!K20+Finans!L20)/2&lt;=90,2,1))))</f>
        <v>3</v>
      </c>
      <c r="P20" s="5">
        <f>IF(Finans!I20/Hedef!$C$7&lt;1,5,IF(Finans!I20/Hedef!$C$7&lt;3,4,IF(Finans!I20/Hedef!$C$7&lt;=5,3,IF(Finans!I20/Hedef!$C$7&lt;=8,2,1))))</f>
        <v>3</v>
      </c>
      <c r="Q20" s="20" t="n">
        <v>4</v>
      </c>
      <c r="R20" s="20" t="n">
        <v>5</v>
      </c>
      <c r="S20" s="20" t="n">
        <v>4</v>
      </c>
      <c r="T20" s="20" t="n">
        <v>4</v>
      </c>
      <c r="U20" s="5">
        <f>IF(Finans!AI20&lt;=0,0,IF(Finans!AI20&lt;=5,5,IF(Finans!AI20&lt;10,4,IF(Finans!AI20&lt;=30,3,IF(Finans!AI20&lt;100,2,1)))))</f>
        <v>1</v>
      </c>
      <c r="V20" s="20" t="n">
        <v>3</v>
      </c>
      <c r="W20" s="20" t="n">
        <v>2</v>
      </c>
      <c r="X20" s="20" t="n">
        <v>3</v>
      </c>
      <c r="Y20" s="20" t="n">
        <v>2</v>
      </c>
      <c r="Z20" s="20" t="n">
        <v>4</v>
      </c>
      <c r="AA20" s="20" t="n">
        <v>3</v>
      </c>
      <c r="AB20" s="20" t="n">
        <v>5</v>
      </c>
      <c r="AD20" s="20" t="n">
        <v>3</v>
      </c>
      <c r="AE20" s="20" t="n">
        <v>1</v>
      </c>
      <c r="AF20" s="20" t="n">
        <v>4</v>
      </c>
      <c r="AG20" s="20" t="n">
        <v>4</v>
      </c>
    </row>
    <row r="21">
      <c r="A21" s="7" t="str">
        <f>Secenekler!A21</f>
        <v>kar-pusulasi-b</v>
      </c>
      <c r="B21" s="7" t="str">
        <f>Secenekler!C21</f>
        <v>Danışman ve ajans paneli (aylık abonelik)</v>
      </c>
      <c r="C21" s="20" t="n">
        <v>3</v>
      </c>
      <c r="D21" s="20" t="n">
        <v>3</v>
      </c>
      <c r="E21" s="20" t="n">
        <v>2</v>
      </c>
      <c r="F21" s="20" t="n">
        <v>3</v>
      </c>
      <c r="G21" s="20" t="n">
        <v>4</v>
      </c>
      <c r="H21" s="20" t="n">
        <v>1</v>
      </c>
      <c r="I21" s="20" t="n">
        <v>1</v>
      </c>
      <c r="J21" s="20" t="n">
        <v>2</v>
      </c>
      <c r="K21" s="20" t="n">
        <v>3</v>
      </c>
      <c r="L21" s="20" t="n">
        <v>3</v>
      </c>
      <c r="M21" s="20" t="n">
        <v>3</v>
      </c>
      <c r="N21" s="20" t="n">
        <v>2</v>
      </c>
      <c r="O21" s="5">
        <f>IF((Finans!K21+Finans!L21)/2&lt;14,5,IF((Finans!K21+Finans!L21)/2&lt;28,4,IF((Finans!K21+Finans!L21)/2&lt;=56,3,IF((Finans!K21+Finans!L21)/2&lt;=90,2,1))))</f>
        <v>1</v>
      </c>
      <c r="P21" s="5">
        <f>IF(Finans!I21/Hedef!$C$7&lt;1,5,IF(Finans!I21/Hedef!$C$7&lt;3,4,IF(Finans!I21/Hedef!$C$7&lt;=5,3,IF(Finans!I21/Hedef!$C$7&lt;=8,2,1))))</f>
        <v>1</v>
      </c>
      <c r="Q21" s="20" t="n">
        <v>2</v>
      </c>
      <c r="R21" s="20" t="n">
        <v>3</v>
      </c>
      <c r="S21" s="20" t="n">
        <v>2</v>
      </c>
      <c r="T21" s="20" t="n">
        <v>3</v>
      </c>
      <c r="U21" s="5">
        <f>IF(Finans!AI21&lt;=0,0,IF(Finans!AI21&lt;=5,5,IF(Finans!AI21&lt;10,4,IF(Finans!AI21&lt;=30,3,IF(Finans!AI21&lt;100,2,1)))))</f>
        <v>1</v>
      </c>
      <c r="V21" s="20" t="n">
        <v>4</v>
      </c>
      <c r="W21" s="20" t="n">
        <v>3</v>
      </c>
      <c r="X21" s="20" t="n">
        <v>3</v>
      </c>
      <c r="Y21" s="20" t="n">
        <v>3</v>
      </c>
      <c r="Z21" s="20" t="n">
        <v>3</v>
      </c>
      <c r="AA21" s="20" t="n">
        <v>2</v>
      </c>
      <c r="AB21" s="20" t="n">
        <v>3</v>
      </c>
      <c r="AD21" s="20" t="n">
        <v>2</v>
      </c>
      <c r="AE21" s="20" t="n">
        <v>2</v>
      </c>
      <c r="AF21" s="20" t="n">
        <v>3</v>
      </c>
      <c r="AG21" s="20" t="n">
        <v>3</v>
      </c>
    </row>
    <row r="22">
      <c r="A22" s="7" t="str">
        <f>Secenekler!A22</f>
        <v>kar-pusulasi-c</v>
      </c>
      <c r="B22" s="7" t="str">
        <f>Secenekler!C22</f>
        <v>SKU katkı raporu (sabit fiyatlı hizmet)</v>
      </c>
      <c r="C22" s="20" t="n">
        <v>3</v>
      </c>
      <c r="D22" s="20" t="n">
        <v>3</v>
      </c>
      <c r="E22" s="20" t="n">
        <v>3</v>
      </c>
      <c r="F22" s="20" t="n">
        <v>3</v>
      </c>
      <c r="G22" s="20" t="n">
        <v>4</v>
      </c>
      <c r="H22" s="20" t="n">
        <v>2</v>
      </c>
      <c r="I22" s="20" t="n">
        <v>2</v>
      </c>
      <c r="J22" s="20" t="n">
        <v>2</v>
      </c>
      <c r="K22" s="20" t="n">
        <v>3</v>
      </c>
      <c r="L22" s="20" t="n">
        <v>2</v>
      </c>
      <c r="M22" s="20" t="n">
        <v>3</v>
      </c>
      <c r="N22" s="20" t="n">
        <v>3</v>
      </c>
      <c r="O22" s="5">
        <f>IF((Finans!K22+Finans!L22)/2&lt;14,5,IF((Finans!K22+Finans!L22)/2&lt;28,4,IF((Finans!K22+Finans!L22)/2&lt;=56,3,IF((Finans!K22+Finans!L22)/2&lt;=90,2,1))))</f>
        <v>3</v>
      </c>
      <c r="P22" s="5">
        <f>IF(Finans!I22/Hedef!$C$7&lt;1,5,IF(Finans!I22/Hedef!$C$7&lt;3,4,IF(Finans!I22/Hedef!$C$7&lt;=5,3,IF(Finans!I22/Hedef!$C$7&lt;=8,2,1))))</f>
        <v>4</v>
      </c>
      <c r="Q22" s="20" t="n">
        <v>3</v>
      </c>
      <c r="R22" s="20" t="n">
        <v>3</v>
      </c>
      <c r="S22" s="20" t="n">
        <v>2</v>
      </c>
      <c r="T22" s="20" t="n">
        <v>3</v>
      </c>
      <c r="U22" s="5">
        <f>IF(Finans!AI22&lt;=0,0,IF(Finans!AI22&lt;=5,5,IF(Finans!AI22&lt;10,4,IF(Finans!AI22&lt;=30,3,IF(Finans!AI22&lt;100,2,1)))))</f>
        <v>1</v>
      </c>
      <c r="V22" s="20" t="n">
        <v>3</v>
      </c>
      <c r="W22" s="20" t="n">
        <v>3</v>
      </c>
      <c r="X22" s="20" t="n">
        <v>3</v>
      </c>
      <c r="Y22" s="20" t="n">
        <v>2</v>
      </c>
      <c r="Z22" s="20" t="n">
        <v>3</v>
      </c>
      <c r="AA22" s="20" t="n">
        <v>3</v>
      </c>
      <c r="AB22" s="20" t="n">
        <v>3</v>
      </c>
      <c r="AD22" s="20" t="n">
        <v>3</v>
      </c>
      <c r="AE22" s="20" t="n">
        <v>1</v>
      </c>
      <c r="AF22" s="20" t="n">
        <v>2</v>
      </c>
      <c r="AG22" s="20" t="n">
        <v>3</v>
      </c>
    </row>
    <row r="23">
      <c r="A23" s="7" t="str">
        <f>Secenekler!A23</f>
        <v>titanlar-a</v>
      </c>
      <c r="B23" s="7" t="str">
        <f>Secenekler!C23</f>
        <v>Titan Programı: 10 haftalık canlı kohort</v>
      </c>
      <c r="C23" s="20" t="n">
        <v>3</v>
      </c>
      <c r="D23" s="20" t="n">
        <v>3</v>
      </c>
      <c r="E23" s="20" t="n">
        <v>4</v>
      </c>
      <c r="F23" s="20" t="n">
        <v>4</v>
      </c>
      <c r="G23" s="20" t="n">
        <v>4</v>
      </c>
      <c r="H23" s="20" t="n">
        <v>3</v>
      </c>
      <c r="I23" s="20" t="n">
        <v>2</v>
      </c>
      <c r="J23" s="20" t="n">
        <v>3</v>
      </c>
      <c r="K23" s="20" t="n">
        <v>3</v>
      </c>
      <c r="L23" s="20" t="n">
        <v>2</v>
      </c>
      <c r="M23" s="20" t="n">
        <v>3</v>
      </c>
      <c r="N23" s="20" t="n">
        <v>3</v>
      </c>
      <c r="O23" s="5">
        <f>IF((Finans!K23+Finans!L23)/2&lt;14,5,IF((Finans!K23+Finans!L23)/2&lt;28,4,IF((Finans!K23+Finans!L23)/2&lt;=56,3,IF((Finans!K23+Finans!L23)/2&lt;=90,2,1))))</f>
        <v>3</v>
      </c>
      <c r="P23" s="5">
        <f>IF(Finans!I23/Hedef!$C$7&lt;1,5,IF(Finans!I23/Hedef!$C$7&lt;3,4,IF(Finans!I23/Hedef!$C$7&lt;=5,3,IF(Finans!I23/Hedef!$C$7&lt;=8,2,1))))</f>
        <v>4</v>
      </c>
      <c r="Q23" s="20" t="n">
        <v>4</v>
      </c>
      <c r="R23" s="20" t="n">
        <v>2</v>
      </c>
      <c r="S23" s="20" t="n">
        <v>3</v>
      </c>
      <c r="T23" s="20" t="n">
        <v>4</v>
      </c>
      <c r="U23" s="5">
        <f>IF(Finans!AI23&lt;=0,0,IF(Finans!AI23&lt;=5,5,IF(Finans!AI23&lt;10,4,IF(Finans!AI23&lt;=30,3,IF(Finans!AI23&lt;100,2,1)))))</f>
        <v>2</v>
      </c>
      <c r="V23" s="20" t="n">
        <v>2</v>
      </c>
      <c r="W23" s="20" t="n">
        <v>3</v>
      </c>
      <c r="X23" s="20" t="n">
        <v>2</v>
      </c>
      <c r="Y23" s="20" t="n">
        <v>3</v>
      </c>
      <c r="Z23" s="20" t="n">
        <v>2</v>
      </c>
      <c r="AA23" s="20" t="n">
        <v>3</v>
      </c>
      <c r="AB23" s="20" t="n">
        <v>4</v>
      </c>
      <c r="AD23" s="20" t="n">
        <v>3</v>
      </c>
      <c r="AE23" s="20" t="n">
        <v>1</v>
      </c>
      <c r="AF23" s="20" t="n">
        <v>2</v>
      </c>
      <c r="AG23" s="20" t="n">
        <v>4</v>
      </c>
    </row>
    <row r="24">
      <c r="A24" s="7" t="str">
        <f>Secenekler!A24</f>
        <v>titanlar-b</v>
      </c>
      <c r="B24" s="7" t="str">
        <f>Secenekler!C24</f>
        <v>Kâr teşhisi: Giriş ve Strateji danışmanlığı</v>
      </c>
      <c r="C24" s="20" t="n">
        <v>4</v>
      </c>
      <c r="D24" s="20" t="n">
        <v>3</v>
      </c>
      <c r="E24" s="20" t="n">
        <v>3</v>
      </c>
      <c r="F24" s="20" t="n">
        <v>4</v>
      </c>
      <c r="G24" s="20" t="n">
        <v>5</v>
      </c>
      <c r="H24" s="20" t="n">
        <v>3</v>
      </c>
      <c r="I24" s="20" t="n">
        <v>2</v>
      </c>
      <c r="J24" s="20" t="n">
        <v>2</v>
      </c>
      <c r="K24" s="20" t="n">
        <v>3</v>
      </c>
      <c r="L24" s="20" t="n">
        <v>2</v>
      </c>
      <c r="M24" s="20" t="n">
        <v>3</v>
      </c>
      <c r="N24" s="20" t="n">
        <v>3</v>
      </c>
      <c r="O24" s="5">
        <f>IF((Finans!K24+Finans!L24)/2&lt;14,5,IF((Finans!K24+Finans!L24)/2&lt;28,4,IF((Finans!K24+Finans!L24)/2&lt;=56,3,IF((Finans!K24+Finans!L24)/2&lt;=90,2,1))))</f>
        <v>4</v>
      </c>
      <c r="P24" s="5">
        <f>IF(Finans!I24/Hedef!$C$7&lt;1,5,IF(Finans!I24/Hedef!$C$7&lt;3,4,IF(Finans!I24/Hedef!$C$7&lt;=5,3,IF(Finans!I24/Hedef!$C$7&lt;=8,2,1))))</f>
        <v>4</v>
      </c>
      <c r="Q24" s="20" t="n">
        <v>4</v>
      </c>
      <c r="R24" s="20" t="n">
        <v>4</v>
      </c>
      <c r="S24" s="20" t="n">
        <v>2</v>
      </c>
      <c r="T24" s="20" t="n">
        <v>3</v>
      </c>
      <c r="U24" s="5">
        <f>IF(Finans!AI24&lt;=0,0,IF(Finans!AI24&lt;=5,5,IF(Finans!AI24&lt;10,4,IF(Finans!AI24&lt;=30,3,IF(Finans!AI24&lt;100,2,1)))))</f>
        <v>3</v>
      </c>
      <c r="V24" s="20" t="n">
        <v>2</v>
      </c>
      <c r="W24" s="20" t="n">
        <v>3</v>
      </c>
      <c r="X24" s="20" t="n">
        <v>3</v>
      </c>
      <c r="Y24" s="20" t="n">
        <v>3</v>
      </c>
      <c r="Z24" s="20" t="n">
        <v>3</v>
      </c>
      <c r="AA24" s="20" t="n">
        <v>2</v>
      </c>
      <c r="AB24" s="20" t="n">
        <v>4</v>
      </c>
      <c r="AD24" s="20" t="n">
        <v>3</v>
      </c>
      <c r="AE24" s="20" t="n">
        <v>1</v>
      </c>
      <c r="AF24" s="20" t="n">
        <v>1</v>
      </c>
      <c r="AG24" s="20" t="n">
        <v>4</v>
      </c>
    </row>
    <row r="25">
      <c r="A25" s="7" t="str">
        <f>Secenekler!A25</f>
        <v>titanlar-c</v>
      </c>
      <c r="B25" s="7" t="str">
        <f>Secenekler!C25</f>
        <v>Kurumsal atölye: oda, belediye ve üretici KOBİ</v>
      </c>
      <c r="C25" s="20" t="n">
        <v>2</v>
      </c>
      <c r="D25" s="20" t="n">
        <v>2</v>
      </c>
      <c r="E25" s="20" t="n">
        <v>2</v>
      </c>
      <c r="F25" s="20" t="n">
        <v>3</v>
      </c>
      <c r="G25" s="20" t="n">
        <v>2</v>
      </c>
      <c r="H25" s="20" t="n">
        <v>1</v>
      </c>
      <c r="I25" s="20" t="n">
        <v>2</v>
      </c>
      <c r="J25" s="20" t="n">
        <v>1</v>
      </c>
      <c r="K25" s="20" t="n">
        <v>3</v>
      </c>
      <c r="L25" s="20" t="n">
        <v>2</v>
      </c>
      <c r="M25" s="20" t="n">
        <v>3</v>
      </c>
      <c r="N25" s="20" t="n">
        <v>3</v>
      </c>
      <c r="O25" s="5">
        <f>IF((Finans!K25+Finans!L25)/2&lt;14,5,IF((Finans!K25+Finans!L25)/2&lt;28,4,IF((Finans!K25+Finans!L25)/2&lt;=56,3,IF((Finans!K25+Finans!L25)/2&lt;=90,2,1))))</f>
        <v>1</v>
      </c>
      <c r="P25" s="5">
        <f>IF(Finans!I25/Hedef!$C$7&lt;1,5,IF(Finans!I25/Hedef!$C$7&lt;3,4,IF(Finans!I25/Hedef!$C$7&lt;=5,3,IF(Finans!I25/Hedef!$C$7&lt;=8,2,1))))</f>
        <v>4</v>
      </c>
      <c r="Q25" s="20" t="n">
        <v>1</v>
      </c>
      <c r="R25" s="20" t="n">
        <v>3</v>
      </c>
      <c r="S25" s="20" t="n">
        <v>1</v>
      </c>
      <c r="T25" s="20" t="n">
        <v>3</v>
      </c>
      <c r="U25" s="5">
        <f>IF(Finans!AI25&lt;=0,0,IF(Finans!AI25&lt;=5,5,IF(Finans!AI25&lt;10,4,IF(Finans!AI25&lt;=30,3,IF(Finans!AI25&lt;100,2,1)))))</f>
        <v>3</v>
      </c>
      <c r="V25" s="20" t="n">
        <v>2</v>
      </c>
      <c r="W25" s="20" t="n">
        <v>3</v>
      </c>
      <c r="X25" s="20" t="n">
        <v>2</v>
      </c>
      <c r="Y25" s="20" t="n">
        <v>2</v>
      </c>
      <c r="Z25" s="20" t="n">
        <v>2</v>
      </c>
      <c r="AA25" s="20" t="n">
        <v>4</v>
      </c>
      <c r="AB25" s="20" t="n">
        <v>2</v>
      </c>
      <c r="AD25" s="20" t="n">
        <v>2</v>
      </c>
      <c r="AE25" s="20" t="n">
        <v>1</v>
      </c>
      <c r="AF25" s="20" t="n">
        <v>1</v>
      </c>
      <c r="AG25" s="20" t="n">
        <v>3</v>
      </c>
    </row>
    <row r="26">
      <c r="A26" s="7" t="str">
        <f>Secenekler!A26</f>
        <v>kurumsal-site-a</v>
      </c>
      <c r="B26" s="7" t="str">
        <f>Secenekler!C26</f>
        <v>İhracat paketi: sabit kapsamlı 3 dilli üretici sitesi</v>
      </c>
      <c r="C26" s="20" t="n">
        <v>3</v>
      </c>
      <c r="D26" s="20" t="n">
        <v>3</v>
      </c>
      <c r="E26" s="20" t="n">
        <v>3</v>
      </c>
      <c r="F26" s="20" t="n">
        <v>3</v>
      </c>
      <c r="G26" s="20" t="n">
        <v>3</v>
      </c>
      <c r="H26" s="20" t="n">
        <v>3</v>
      </c>
      <c r="I26" s="20" t="n">
        <v>2</v>
      </c>
      <c r="J26" s="20" t="n">
        <v>3</v>
      </c>
      <c r="K26" s="20" t="n">
        <v>3</v>
      </c>
      <c r="L26" s="20" t="n">
        <v>2</v>
      </c>
      <c r="M26" s="20" t="n">
        <v>3</v>
      </c>
      <c r="N26" s="20" t="n">
        <v>4</v>
      </c>
      <c r="O26" s="5">
        <f>IF((Finans!K26+Finans!L26)/2&lt;14,5,IF((Finans!K26+Finans!L26)/2&lt;28,4,IF((Finans!K26+Finans!L26)/2&lt;=56,3,IF((Finans!K26+Finans!L26)/2&lt;=90,2,1))))</f>
        <v>2</v>
      </c>
      <c r="P26" s="5">
        <f>IF(Finans!I26/Hedef!$C$7&lt;1,5,IF(Finans!I26/Hedef!$C$7&lt;3,4,IF(Finans!I26/Hedef!$C$7&lt;=5,3,IF(Finans!I26/Hedef!$C$7&lt;=8,2,1))))</f>
        <v>3</v>
      </c>
      <c r="Q26" s="20" t="n">
        <v>3</v>
      </c>
      <c r="R26" s="20" t="n">
        <v>2</v>
      </c>
      <c r="S26" s="20" t="n">
        <v>1</v>
      </c>
      <c r="T26" s="20" t="n">
        <v>3</v>
      </c>
      <c r="U26" s="5">
        <f>IF(Finans!AI26&lt;=0,0,IF(Finans!AI26&lt;=5,5,IF(Finans!AI26&lt;10,4,IF(Finans!AI26&lt;=30,3,IF(Finans!AI26&lt;100,2,1)))))</f>
        <v>5</v>
      </c>
      <c r="V26" s="20" t="n">
        <v>2</v>
      </c>
      <c r="W26" s="20" t="n">
        <v>3</v>
      </c>
      <c r="X26" s="20" t="n">
        <v>3</v>
      </c>
      <c r="Y26" s="20" t="n">
        <v>3</v>
      </c>
      <c r="Z26" s="20" t="n">
        <v>2</v>
      </c>
      <c r="AA26" s="20" t="n">
        <v>4</v>
      </c>
      <c r="AB26" s="20" t="n">
        <v>3</v>
      </c>
      <c r="AD26" s="20" t="n">
        <v>4</v>
      </c>
      <c r="AE26" s="20" t="n">
        <v>1</v>
      </c>
      <c r="AF26" s="20" t="n">
        <v>2</v>
      </c>
      <c r="AG26" s="20" t="n">
        <v>5</v>
      </c>
    </row>
    <row r="27">
      <c r="A27" s="7" t="str">
        <f>Secenekler!A27</f>
        <v>kurumsal-site-b</v>
      </c>
      <c r="B27" s="7" t="str">
        <f>Secenekler!C27</f>
        <v>Vitrin paketi: 2 dilli giriş sitesi (45.000 ₺)</v>
      </c>
      <c r="C27" s="20" t="n">
        <v>2</v>
      </c>
      <c r="D27" s="20" t="n">
        <v>2</v>
      </c>
      <c r="E27" s="20" t="n">
        <v>3</v>
      </c>
      <c r="F27" s="20" t="n">
        <v>2</v>
      </c>
      <c r="G27" s="20" t="n">
        <v>4</v>
      </c>
      <c r="H27" s="20" t="n">
        <v>2</v>
      </c>
      <c r="I27" s="20" t="n">
        <v>1</v>
      </c>
      <c r="J27" s="20" t="n">
        <v>3</v>
      </c>
      <c r="K27" s="20" t="n">
        <v>2</v>
      </c>
      <c r="L27" s="20" t="n">
        <v>2</v>
      </c>
      <c r="M27" s="20" t="n">
        <v>3</v>
      </c>
      <c r="N27" s="20" t="n">
        <v>3</v>
      </c>
      <c r="O27" s="5">
        <f>IF((Finans!K27+Finans!L27)/2&lt;14,5,IF((Finans!K27+Finans!L27)/2&lt;28,4,IF((Finans!K27+Finans!L27)/2&lt;=56,3,IF((Finans!K27+Finans!L27)/2&lt;=90,2,1))))</f>
        <v>3</v>
      </c>
      <c r="P27" s="5">
        <f>IF(Finans!I27/Hedef!$C$7&lt;1,5,IF(Finans!I27/Hedef!$C$7&lt;3,4,IF(Finans!I27/Hedef!$C$7&lt;=5,3,IF(Finans!I27/Hedef!$C$7&lt;=8,2,1))))</f>
        <v>4</v>
      </c>
      <c r="Q27" s="20" t="n">
        <v>3</v>
      </c>
      <c r="R27" s="20" t="n">
        <v>2</v>
      </c>
      <c r="S27" s="20" t="n">
        <v>2</v>
      </c>
      <c r="T27" s="20" t="n">
        <v>3</v>
      </c>
      <c r="U27" s="5">
        <f>IF(Finans!AI27&lt;=0,0,IF(Finans!AI27&lt;=5,5,IF(Finans!AI27&lt;10,4,IF(Finans!AI27&lt;=30,3,IF(Finans!AI27&lt;100,2,1)))))</f>
        <v>4</v>
      </c>
      <c r="V27" s="20" t="n">
        <v>2</v>
      </c>
      <c r="W27" s="20" t="n">
        <v>3</v>
      </c>
      <c r="X27" s="20" t="n">
        <v>3</v>
      </c>
      <c r="Y27" s="20" t="n">
        <v>2</v>
      </c>
      <c r="Z27" s="20" t="n">
        <v>2</v>
      </c>
      <c r="AA27" s="20" t="n">
        <v>4</v>
      </c>
      <c r="AB27" s="20" t="n">
        <v>3</v>
      </c>
      <c r="AD27" s="20" t="n">
        <v>3</v>
      </c>
      <c r="AE27" s="20" t="n">
        <v>1</v>
      </c>
      <c r="AF27" s="20" t="n">
        <v>2</v>
      </c>
      <c r="AG27" s="20" t="n">
        <v>4</v>
      </c>
    </row>
    <row r="28">
      <c r="A28" s="7" t="str">
        <f>Secenekler!A28</f>
        <v>kurumsal-site-c</v>
      </c>
      <c r="B28" s="7" t="str">
        <f>Secenekler!C28</f>
        <v>Markasız Astro sanayi teması (kod satışı)</v>
      </c>
      <c r="C28" s="20" t="n">
        <v>1</v>
      </c>
      <c r="D28" s="20" t="n">
        <v>2</v>
      </c>
      <c r="E28" s="20" t="n">
        <v>3</v>
      </c>
      <c r="F28" s="20" t="n">
        <v>3</v>
      </c>
      <c r="G28" s="20" t="n">
        <v>5</v>
      </c>
      <c r="H28" s="20" t="n">
        <v>1</v>
      </c>
      <c r="I28" s="20" t="n">
        <v>1</v>
      </c>
      <c r="J28" s="20" t="n">
        <v>2</v>
      </c>
      <c r="K28" s="20" t="n">
        <v>3</v>
      </c>
      <c r="L28" s="20" t="n">
        <v>2</v>
      </c>
      <c r="M28" s="20" t="n">
        <v>2</v>
      </c>
      <c r="N28" s="20" t="n">
        <v>2</v>
      </c>
      <c r="O28" s="5">
        <f>IF((Finans!K28+Finans!L28)/2&lt;14,5,IF((Finans!K28+Finans!L28)/2&lt;28,4,IF((Finans!K28+Finans!L28)/2&lt;=56,3,IF((Finans!K28+Finans!L28)/2&lt;=90,2,1))))</f>
        <v>1</v>
      </c>
      <c r="P28" s="5">
        <f>IF(Finans!I28/Hedef!$C$7&lt;1,5,IF(Finans!I28/Hedef!$C$7&lt;3,4,IF(Finans!I28/Hedef!$C$7&lt;=5,3,IF(Finans!I28/Hedef!$C$7&lt;=8,2,1))))</f>
        <v>3</v>
      </c>
      <c r="Q28" s="20" t="n">
        <v>5</v>
      </c>
      <c r="R28" s="20" t="n">
        <v>4</v>
      </c>
      <c r="S28" s="20" t="n">
        <v>4</v>
      </c>
      <c r="T28" s="20" t="n">
        <v>3</v>
      </c>
      <c r="U28" s="5">
        <f>IF(Finans!AI28&lt;=0,0,IF(Finans!AI28&lt;=5,5,IF(Finans!AI28&lt;10,4,IF(Finans!AI28&lt;=30,3,IF(Finans!AI28&lt;100,2,1)))))</f>
        <v>2</v>
      </c>
      <c r="V28" s="20" t="n">
        <v>1</v>
      </c>
      <c r="W28" s="20" t="n">
        <v>3</v>
      </c>
      <c r="X28" s="20" t="n">
        <v>3</v>
      </c>
      <c r="Y28" s="20" t="n">
        <v>2</v>
      </c>
      <c r="Z28" s="20" t="n">
        <v>4</v>
      </c>
      <c r="AA28" s="20" t="n">
        <v>4</v>
      </c>
      <c r="AB28" s="20" t="n">
        <v>5</v>
      </c>
      <c r="AD28" s="20" t="n">
        <v>2</v>
      </c>
      <c r="AE28" s="20" t="n">
        <v>1</v>
      </c>
      <c r="AF28" s="20" t="n">
        <v>4</v>
      </c>
      <c r="AG28" s="20" t="n">
        <v>3</v>
      </c>
    </row>
    <row r="29">
      <c r="A29" s="7" t="str">
        <f>Secenekler!A29</f>
        <v>uretici-kobi-paketi-a</v>
      </c>
      <c r="B29" s="7" t="str">
        <f>Secenekler!C29</f>
        <v>Başlangıç paketi: fizibilite, vitrin site, açılış planı</v>
      </c>
      <c r="C29" s="20" t="n">
        <v>3</v>
      </c>
      <c r="D29" s="20" t="n">
        <v>3</v>
      </c>
      <c r="E29" s="20" t="n">
        <v>3</v>
      </c>
      <c r="F29" s="20" t="n">
        <v>3</v>
      </c>
      <c r="G29" s="20" t="n">
        <v>4</v>
      </c>
      <c r="H29" s="20" t="n">
        <v>2</v>
      </c>
      <c r="I29" s="20" t="n">
        <v>2</v>
      </c>
      <c r="J29" s="20" t="n">
        <v>2</v>
      </c>
      <c r="K29" s="20" t="n">
        <v>3</v>
      </c>
      <c r="L29" s="20" t="n">
        <v>2</v>
      </c>
      <c r="M29" s="20" t="n">
        <v>3</v>
      </c>
      <c r="N29" s="20" t="n">
        <v>3</v>
      </c>
      <c r="O29" s="5">
        <f>IF((Finans!K29+Finans!L29)/2&lt;14,5,IF((Finans!K29+Finans!L29)/2&lt;28,4,IF((Finans!K29+Finans!L29)/2&lt;=56,3,IF((Finans!K29+Finans!L29)/2&lt;=90,2,1))))</f>
        <v>2</v>
      </c>
      <c r="P29" s="5">
        <f>IF(Finans!I29/Hedef!$C$7&lt;1,5,IF(Finans!I29/Hedef!$C$7&lt;3,4,IF(Finans!I29/Hedef!$C$7&lt;=5,3,IF(Finans!I29/Hedef!$C$7&lt;=8,2,1))))</f>
        <v>3</v>
      </c>
      <c r="Q29" s="20" t="n">
        <v>2</v>
      </c>
      <c r="R29" s="20" t="n">
        <v>2</v>
      </c>
      <c r="S29" s="20" t="n">
        <v>1</v>
      </c>
      <c r="T29" s="20" t="n">
        <v>3</v>
      </c>
      <c r="U29" s="5">
        <f>IF(Finans!AI29&lt;=0,0,IF(Finans!AI29&lt;=5,5,IF(Finans!AI29&lt;10,4,IF(Finans!AI29&lt;=30,3,IF(Finans!AI29&lt;100,2,1)))))</f>
        <v>5</v>
      </c>
      <c r="V29" s="20" t="n">
        <v>2</v>
      </c>
      <c r="W29" s="20" t="n">
        <v>3</v>
      </c>
      <c r="X29" s="20" t="n">
        <v>4</v>
      </c>
      <c r="Y29" s="20" t="n">
        <v>3</v>
      </c>
      <c r="Z29" s="20" t="n">
        <v>1</v>
      </c>
      <c r="AA29" s="20" t="n">
        <v>3</v>
      </c>
      <c r="AB29" s="20" t="n">
        <v>3</v>
      </c>
      <c r="AD29" s="20" t="n">
        <v>3</v>
      </c>
      <c r="AE29" s="20" t="n">
        <v>1</v>
      </c>
      <c r="AF29" s="20" t="n">
        <v>2</v>
      </c>
      <c r="AG29" s="20" t="n">
        <v>5</v>
      </c>
    </row>
    <row r="30">
      <c r="A30" s="7" t="str">
        <f>Secenekler!A30</f>
        <v>uretici-kobi-paketi-b</v>
      </c>
      <c r="B30" s="7" t="str">
        <f>Secenekler!C30</f>
        <v>Fizibilite paketi: rakip analizi, kârlılık modeli, simülatör</v>
      </c>
      <c r="C30" s="20" t="n">
        <v>4</v>
      </c>
      <c r="D30" s="20" t="n">
        <v>3</v>
      </c>
      <c r="E30" s="20" t="n">
        <v>3</v>
      </c>
      <c r="F30" s="20" t="n">
        <v>3</v>
      </c>
      <c r="G30" s="20" t="n">
        <v>3</v>
      </c>
      <c r="H30" s="20" t="n">
        <v>2</v>
      </c>
      <c r="I30" s="20" t="n">
        <v>2</v>
      </c>
      <c r="J30" s="20" t="n">
        <v>2</v>
      </c>
      <c r="K30" s="20" t="n">
        <v>3</v>
      </c>
      <c r="L30" s="20" t="n">
        <v>2</v>
      </c>
      <c r="M30" s="20" t="n">
        <v>3</v>
      </c>
      <c r="N30" s="20" t="n">
        <v>3</v>
      </c>
      <c r="O30" s="5">
        <f>IF((Finans!K30+Finans!L30)/2&lt;14,5,IF((Finans!K30+Finans!L30)/2&lt;28,4,IF((Finans!K30+Finans!L30)/2&lt;=56,3,IF((Finans!K30+Finans!L30)/2&lt;=90,2,1))))</f>
        <v>3</v>
      </c>
      <c r="P30" s="5">
        <f>IF(Finans!I30/Hedef!$C$7&lt;1,5,IF(Finans!I30/Hedef!$C$7&lt;3,4,IF(Finans!I30/Hedef!$C$7&lt;=5,3,IF(Finans!I30/Hedef!$C$7&lt;=8,2,1))))</f>
        <v>4</v>
      </c>
      <c r="Q30" s="20" t="n">
        <v>3</v>
      </c>
      <c r="R30" s="20" t="n">
        <v>3</v>
      </c>
      <c r="S30" s="20" t="n">
        <v>1</v>
      </c>
      <c r="T30" s="20" t="n">
        <v>3</v>
      </c>
      <c r="U30" s="5">
        <f>IF(Finans!AI30&lt;=0,0,IF(Finans!AI30&lt;=5,5,IF(Finans!AI30&lt;10,4,IF(Finans!AI30&lt;=30,3,IF(Finans!AI30&lt;100,2,1)))))</f>
        <v>4</v>
      </c>
      <c r="V30" s="20" t="n">
        <v>2</v>
      </c>
      <c r="W30" s="20" t="n">
        <v>3</v>
      </c>
      <c r="X30" s="20" t="n">
        <v>4</v>
      </c>
      <c r="Y30" s="20" t="n">
        <v>3</v>
      </c>
      <c r="Z30" s="20" t="n">
        <v>2</v>
      </c>
      <c r="AA30" s="20" t="n">
        <v>3</v>
      </c>
      <c r="AB30" s="20" t="n">
        <v>4</v>
      </c>
      <c r="AD30" s="20" t="n">
        <v>3</v>
      </c>
      <c r="AE30" s="20" t="n">
        <v>1</v>
      </c>
      <c r="AF30" s="20" t="n">
        <v>2</v>
      </c>
      <c r="AG30" s="20" t="n">
        <v>4</v>
      </c>
    </row>
    <row r="31">
      <c r="A31" s="7" t="str">
        <f>Secenekler!A31</f>
        <v>uretici-kobi-paketi-c</v>
      </c>
      <c r="B31" s="7" t="str">
        <f>Secenekler!C31</f>
        <v>Katalog ve teklif formu sitesi (kumaş üreticisi)</v>
      </c>
      <c r="C31" s="20" t="n">
        <v>3</v>
      </c>
      <c r="D31" s="20" t="n">
        <v>3</v>
      </c>
      <c r="E31" s="20" t="n">
        <v>2</v>
      </c>
      <c r="F31" s="20" t="n">
        <v>3</v>
      </c>
      <c r="G31" s="20" t="n">
        <v>3</v>
      </c>
      <c r="H31" s="20" t="n">
        <v>2</v>
      </c>
      <c r="I31" s="20" t="n">
        <v>2</v>
      </c>
      <c r="J31" s="20" t="n">
        <v>2</v>
      </c>
      <c r="K31" s="20" t="n">
        <v>3</v>
      </c>
      <c r="L31" s="20" t="n">
        <v>2</v>
      </c>
      <c r="M31" s="20" t="n">
        <v>3</v>
      </c>
      <c r="N31" s="20" t="n">
        <v>3</v>
      </c>
      <c r="O31" s="5">
        <f>IF((Finans!K31+Finans!L31)/2&lt;14,5,IF((Finans!K31+Finans!L31)/2&lt;28,4,IF((Finans!K31+Finans!L31)/2&lt;=56,3,IF((Finans!K31+Finans!L31)/2&lt;=90,2,1))))</f>
        <v>2</v>
      </c>
      <c r="P31" s="5">
        <f>IF(Finans!I31/Hedef!$C$7&lt;1,5,IF(Finans!I31/Hedef!$C$7&lt;3,4,IF(Finans!I31/Hedef!$C$7&lt;=5,3,IF(Finans!I31/Hedef!$C$7&lt;=8,2,1))))</f>
        <v>3</v>
      </c>
      <c r="Q31" s="20" t="n">
        <v>3</v>
      </c>
      <c r="R31" s="20" t="n">
        <v>2</v>
      </c>
      <c r="S31" s="20" t="n">
        <v>1</v>
      </c>
      <c r="T31" s="20" t="n">
        <v>3</v>
      </c>
      <c r="U31" s="5">
        <f>IF(Finans!AI31&lt;=0,0,IF(Finans!AI31&lt;=5,5,IF(Finans!AI31&lt;10,4,IF(Finans!AI31&lt;=30,3,IF(Finans!AI31&lt;100,2,1)))))</f>
        <v>4</v>
      </c>
      <c r="V31" s="20" t="n">
        <v>2</v>
      </c>
      <c r="W31" s="20" t="n">
        <v>2</v>
      </c>
      <c r="X31" s="20" t="n">
        <v>3</v>
      </c>
      <c r="Y31" s="20" t="n">
        <v>2</v>
      </c>
      <c r="Z31" s="20" t="n">
        <v>2</v>
      </c>
      <c r="AA31" s="20" t="n">
        <v>4</v>
      </c>
      <c r="AB31" s="20" t="n">
        <v>3</v>
      </c>
      <c r="AD31" s="20" t="n">
        <v>2</v>
      </c>
      <c r="AE31" s="20" t="n">
        <v>1</v>
      </c>
      <c r="AF31" s="20" t="n">
        <v>2</v>
      </c>
      <c r="AG31" s="20" t="n">
        <v>3</v>
      </c>
    </row>
    <row r="32">
      <c r="A32" s="7" t="str">
        <f>Secenekler!A32</f>
        <v>wp-nis-eklentiler-a</v>
      </c>
      <c r="B32" s="7" t="str">
        <f>Secenekler!C32</f>
        <v>KVKK Lite Pro: ajans lisansı</v>
      </c>
      <c r="C32" s="20" t="n">
        <v>3</v>
      </c>
      <c r="D32" s="20" t="n">
        <v>3</v>
      </c>
      <c r="E32" s="20" t="n">
        <v>3</v>
      </c>
      <c r="F32" s="20" t="n">
        <v>4</v>
      </c>
      <c r="G32" s="20" t="n">
        <v>4</v>
      </c>
      <c r="H32" s="20" t="n">
        <v>2</v>
      </c>
      <c r="I32" s="20" t="n">
        <v>2</v>
      </c>
      <c r="J32" s="20" t="n">
        <v>2</v>
      </c>
      <c r="K32" s="20" t="n">
        <v>2</v>
      </c>
      <c r="L32" s="20" t="n">
        <v>2</v>
      </c>
      <c r="M32" s="20" t="n">
        <v>3</v>
      </c>
      <c r="N32" s="20" t="n">
        <v>3</v>
      </c>
      <c r="O32" s="5">
        <f>IF((Finans!K32+Finans!L32)/2&lt;14,5,IF((Finans!K32+Finans!L32)/2&lt;28,4,IF((Finans!K32+Finans!L32)/2&lt;=56,3,IF((Finans!K32+Finans!L32)/2&lt;=90,2,1))))</f>
        <v>1</v>
      </c>
      <c r="P32" s="5">
        <f>IF(Finans!I32/Hedef!$C$7&lt;1,5,IF(Finans!I32/Hedef!$C$7&lt;3,4,IF(Finans!I32/Hedef!$C$7&lt;=5,3,IF(Finans!I32/Hedef!$C$7&lt;=8,2,1))))</f>
        <v>2</v>
      </c>
      <c r="Q32" s="20" t="n">
        <v>3</v>
      </c>
      <c r="R32" s="20" t="n">
        <v>4</v>
      </c>
      <c r="S32" s="20" t="n">
        <v>3</v>
      </c>
      <c r="T32" s="20" t="n">
        <v>4</v>
      </c>
      <c r="U32" s="5">
        <f>IF(Finans!AI32&lt;=0,0,IF(Finans!AI32&lt;=5,5,IF(Finans!AI32&lt;10,4,IF(Finans!AI32&lt;=30,3,IF(Finans!AI32&lt;100,2,1)))))</f>
        <v>2</v>
      </c>
      <c r="V32" s="20" t="n">
        <v>3</v>
      </c>
      <c r="W32" s="20" t="n">
        <v>3</v>
      </c>
      <c r="X32" s="20" t="n">
        <v>3</v>
      </c>
      <c r="Y32" s="20" t="n">
        <v>3</v>
      </c>
      <c r="Z32" s="20" t="n">
        <v>3</v>
      </c>
      <c r="AA32" s="20" t="n">
        <v>2</v>
      </c>
      <c r="AB32" s="20" t="n">
        <v>4</v>
      </c>
      <c r="AD32" s="20" t="n">
        <v>3</v>
      </c>
      <c r="AE32" s="20" t="n">
        <v>2</v>
      </c>
      <c r="AF32" s="20" t="n">
        <v>4</v>
      </c>
      <c r="AG32" s="20" t="n">
        <v>3</v>
      </c>
    </row>
    <row r="33">
      <c r="A33" s="7" t="str">
        <f>Secenekler!A33</f>
        <v>wp-nis-eklentiler-b</v>
      </c>
      <c r="B33" s="7" t="str">
        <f>Secenekler!C33</f>
        <v>Taksit Tablosu ve Kapıda Ödeme Pro: tek mağaza</v>
      </c>
      <c r="C33" s="20" t="n">
        <v>3</v>
      </c>
      <c r="D33" s="20" t="n">
        <v>2</v>
      </c>
      <c r="E33" s="20" t="n">
        <v>5</v>
      </c>
      <c r="F33" s="20" t="n">
        <v>3</v>
      </c>
      <c r="G33" s="20" t="n">
        <v>5</v>
      </c>
      <c r="H33" s="20" t="n">
        <v>1</v>
      </c>
      <c r="I33" s="20" t="n">
        <v>1</v>
      </c>
      <c r="J33" s="20" t="n">
        <v>4</v>
      </c>
      <c r="K33" s="20" t="n">
        <v>3</v>
      </c>
      <c r="L33" s="20" t="n">
        <v>2</v>
      </c>
      <c r="M33" s="20" t="n">
        <v>3</v>
      </c>
      <c r="N33" s="20" t="n">
        <v>2</v>
      </c>
      <c r="O33" s="5">
        <f>IF((Finans!K33+Finans!L33)/2&lt;14,5,IF((Finans!K33+Finans!L33)/2&lt;28,4,IF((Finans!K33+Finans!L33)/2&lt;=56,3,IF((Finans!K33+Finans!L33)/2&lt;=90,2,1))))</f>
        <v>1</v>
      </c>
      <c r="P33" s="5">
        <f>IF(Finans!I33/Hedef!$C$7&lt;1,5,IF(Finans!I33/Hedef!$C$7&lt;3,4,IF(Finans!I33/Hedef!$C$7&lt;=5,3,IF(Finans!I33/Hedef!$C$7&lt;=8,2,1))))</f>
        <v>2</v>
      </c>
      <c r="Q33" s="20" t="n">
        <v>4</v>
      </c>
      <c r="R33" s="20" t="n">
        <v>4</v>
      </c>
      <c r="S33" s="20" t="n">
        <v>4</v>
      </c>
      <c r="T33" s="20" t="n">
        <v>3</v>
      </c>
      <c r="U33" s="5">
        <f>IF(Finans!AI33&lt;=0,0,IF(Finans!AI33&lt;=5,5,IF(Finans!AI33&lt;10,4,IF(Finans!AI33&lt;=30,3,IF(Finans!AI33&lt;100,2,1)))))</f>
        <v>1</v>
      </c>
      <c r="V33" s="20" t="n">
        <v>3</v>
      </c>
      <c r="W33" s="20" t="n">
        <v>3</v>
      </c>
      <c r="X33" s="20" t="n">
        <v>3</v>
      </c>
      <c r="Y33" s="20" t="n">
        <v>2</v>
      </c>
      <c r="Z33" s="20" t="n">
        <v>4</v>
      </c>
      <c r="AA33" s="20" t="n">
        <v>3</v>
      </c>
      <c r="AB33" s="20" t="n">
        <v>3</v>
      </c>
      <c r="AD33" s="20" t="n">
        <v>2</v>
      </c>
      <c r="AE33" s="20" t="n">
        <v>2</v>
      </c>
      <c r="AF33" s="20" t="n">
        <v>4</v>
      </c>
      <c r="AG33" s="20" t="n">
        <v>3</v>
      </c>
    </row>
    <row r="34">
      <c r="A34" s="7" t="str">
        <f>Secenekler!A34</f>
        <v>wp-nis-eklentiler-c</v>
      </c>
      <c r="B34" s="7" t="str">
        <f>Secenekler!C34</f>
        <v>Türkiye uyum kurulumu: sabit fiyatlı hizmet</v>
      </c>
      <c r="C34" s="20" t="n">
        <v>3</v>
      </c>
      <c r="D34" s="20" t="n">
        <v>3</v>
      </c>
      <c r="E34" s="20" t="n">
        <v>3</v>
      </c>
      <c r="F34" s="20" t="n">
        <v>4</v>
      </c>
      <c r="G34" s="20" t="n">
        <v>4</v>
      </c>
      <c r="H34" s="20" t="n">
        <v>1</v>
      </c>
      <c r="I34" s="20" t="n">
        <v>2</v>
      </c>
      <c r="J34" s="20" t="n">
        <v>3</v>
      </c>
      <c r="K34" s="20" t="n">
        <v>3</v>
      </c>
      <c r="L34" s="20" t="n">
        <v>1</v>
      </c>
      <c r="M34" s="20" t="n">
        <v>3</v>
      </c>
      <c r="N34" s="20" t="n">
        <v>3</v>
      </c>
      <c r="O34" s="5">
        <f>IF((Finans!K34+Finans!L34)/2&lt;14,5,IF((Finans!K34+Finans!L34)/2&lt;28,4,IF((Finans!K34+Finans!L34)/2&lt;=56,3,IF((Finans!K34+Finans!L34)/2&lt;=90,2,1))))</f>
        <v>3</v>
      </c>
      <c r="P34" s="5">
        <f>IF(Finans!I34/Hedef!$C$7&lt;1,5,IF(Finans!I34/Hedef!$C$7&lt;3,4,IF(Finans!I34/Hedef!$C$7&lt;=5,3,IF(Finans!I34/Hedef!$C$7&lt;=8,2,1))))</f>
        <v>4</v>
      </c>
      <c r="Q34" s="20" t="n">
        <v>4</v>
      </c>
      <c r="R34" s="20" t="n">
        <v>2</v>
      </c>
      <c r="S34" s="20" t="n">
        <v>2</v>
      </c>
      <c r="T34" s="20" t="n">
        <v>2</v>
      </c>
      <c r="U34" s="5">
        <f>IF(Finans!AI34&lt;=0,0,IF(Finans!AI34&lt;=5,5,IF(Finans!AI34&lt;10,4,IF(Finans!AI34&lt;=30,3,IF(Finans!AI34&lt;100,2,1)))))</f>
        <v>2</v>
      </c>
      <c r="V34" s="20" t="n">
        <v>2</v>
      </c>
      <c r="W34" s="20" t="n">
        <v>3</v>
      </c>
      <c r="X34" s="20" t="n">
        <v>3</v>
      </c>
      <c r="Y34" s="20" t="n">
        <v>2</v>
      </c>
      <c r="Z34" s="20" t="n">
        <v>3</v>
      </c>
      <c r="AA34" s="20" t="n">
        <v>2</v>
      </c>
      <c r="AB34" s="20" t="n">
        <v>4</v>
      </c>
      <c r="AD34" s="20" t="n">
        <v>3</v>
      </c>
      <c r="AE34" s="20" t="n">
        <v>1</v>
      </c>
      <c r="AF34" s="20" t="n">
        <v>1</v>
      </c>
      <c r="AG34" s="20" t="n">
        <v>4</v>
      </c>
    </row>
    <row r="35">
      <c r="A35" s="7" t="str">
        <f>Secenekler!A35</f>
        <v>qral-a</v>
      </c>
      <c r="B35" s="7" t="str">
        <f>Secenekler!C35</f>
        <v>Pro lisansı: bilgi çalışanı ve yapay zekâ kullanıcısı</v>
      </c>
      <c r="C35" s="20" t="n">
        <v>1</v>
      </c>
      <c r="D35" s="20" t="n">
        <v>1</v>
      </c>
      <c r="E35" s="20" t="n">
        <v>5</v>
      </c>
      <c r="F35" s="20" t="n">
        <v>2</v>
      </c>
      <c r="G35" s="20" t="n">
        <v>5</v>
      </c>
      <c r="H35" s="20" t="n">
        <v>1</v>
      </c>
      <c r="I35" s="20" t="n">
        <v>1</v>
      </c>
      <c r="J35" s="20" t="n">
        <v>3</v>
      </c>
      <c r="K35" s="20" t="n">
        <v>2</v>
      </c>
      <c r="L35" s="20" t="n">
        <v>1</v>
      </c>
      <c r="M35" s="20" t="n">
        <v>2</v>
      </c>
      <c r="N35" s="20" t="n">
        <v>3</v>
      </c>
      <c r="O35" s="5">
        <f>IF((Finans!K35+Finans!L35)/2&lt;14,5,IF((Finans!K35+Finans!L35)/2&lt;28,4,IF((Finans!K35+Finans!L35)/2&lt;=56,3,IF((Finans!K35+Finans!L35)/2&lt;=90,2,1))))</f>
        <v>1</v>
      </c>
      <c r="P35" s="5">
        <f>IF(Finans!I35/Hedef!$C$7&lt;1,5,IF(Finans!I35/Hedef!$C$7&lt;3,4,IF(Finans!I35/Hedef!$C$7&lt;=5,3,IF(Finans!I35/Hedef!$C$7&lt;=8,2,1))))</f>
        <v>3</v>
      </c>
      <c r="Q35" s="20" t="n">
        <v>5</v>
      </c>
      <c r="R35" s="20" t="n">
        <v>5</v>
      </c>
      <c r="S35" s="20" t="n">
        <v>4</v>
      </c>
      <c r="T35" s="20" t="n">
        <v>4</v>
      </c>
      <c r="U35" s="5">
        <f>IF(Finans!AI35&lt;=0,0,IF(Finans!AI35&lt;=5,5,IF(Finans!AI35&lt;10,4,IF(Finans!AI35&lt;=30,3,IF(Finans!AI35&lt;100,2,1)))))</f>
        <v>1</v>
      </c>
      <c r="V35" s="20" t="n">
        <v>1</v>
      </c>
      <c r="W35" s="20" t="n">
        <v>2</v>
      </c>
      <c r="X35" s="20" t="n">
        <v>2</v>
      </c>
      <c r="Y35" s="20" t="n">
        <v>1</v>
      </c>
      <c r="Z35" s="20" t="n">
        <v>4</v>
      </c>
      <c r="AA35" s="20" t="n">
        <v>5</v>
      </c>
      <c r="AB35" s="20" t="n">
        <v>5</v>
      </c>
      <c r="AD35" s="20" t="n">
        <v>2</v>
      </c>
      <c r="AE35" s="20" t="n">
        <v>1</v>
      </c>
      <c r="AF35" s="20" t="n">
        <v>5</v>
      </c>
      <c r="AG35" s="20" t="n">
        <v>2</v>
      </c>
    </row>
    <row r="36">
      <c r="A36" s="7" t="str">
        <f>Secenekler!A36</f>
        <v>qral-b</v>
      </c>
      <c r="B36" s="7" t="str">
        <f>Secenekler!C36</f>
        <v>Sınıf Paketi: öğretmen ve okul için QR sayfası</v>
      </c>
      <c r="C36" s="20" t="n">
        <v>2</v>
      </c>
      <c r="D36" s="20" t="n">
        <v>3</v>
      </c>
      <c r="E36" s="20" t="n">
        <v>2</v>
      </c>
      <c r="F36" s="20" t="n">
        <v>3</v>
      </c>
      <c r="G36" s="20" t="n">
        <v>2</v>
      </c>
      <c r="H36" s="20" t="n">
        <v>1</v>
      </c>
      <c r="I36" s="20" t="n">
        <v>1</v>
      </c>
      <c r="J36" s="20" t="n">
        <v>3</v>
      </c>
      <c r="K36" s="20" t="n">
        <v>2</v>
      </c>
      <c r="L36" s="20" t="n">
        <v>2</v>
      </c>
      <c r="M36" s="20" t="n">
        <v>3</v>
      </c>
      <c r="N36" s="20" t="n">
        <v>3</v>
      </c>
      <c r="O36" s="5">
        <f>IF((Finans!K36+Finans!L36)/2&lt;14,5,IF((Finans!K36+Finans!L36)/2&lt;28,4,IF((Finans!K36+Finans!L36)/2&lt;=56,3,IF((Finans!K36+Finans!L36)/2&lt;=90,2,1))))</f>
        <v>1</v>
      </c>
      <c r="P36" s="5">
        <f>IF(Finans!I36/Hedef!$C$7&lt;1,5,IF(Finans!I36/Hedef!$C$7&lt;3,4,IF(Finans!I36/Hedef!$C$7&lt;=5,3,IF(Finans!I36/Hedef!$C$7&lt;=8,2,1))))</f>
        <v>2</v>
      </c>
      <c r="Q36" s="20" t="n">
        <v>3</v>
      </c>
      <c r="R36" s="20" t="n">
        <v>5</v>
      </c>
      <c r="S36" s="20" t="n">
        <v>3</v>
      </c>
      <c r="T36" s="20" t="n">
        <v>4</v>
      </c>
      <c r="U36" s="5">
        <f>IF(Finans!AI36&lt;=0,0,IF(Finans!AI36&lt;=5,5,IF(Finans!AI36&lt;10,4,IF(Finans!AI36&lt;=30,3,IF(Finans!AI36&lt;100,2,1)))))</f>
        <v>1</v>
      </c>
      <c r="V36" s="20" t="n">
        <v>3</v>
      </c>
      <c r="W36" s="20" t="n">
        <v>3</v>
      </c>
      <c r="X36" s="20" t="n">
        <v>1</v>
      </c>
      <c r="Y36" s="20" t="n">
        <v>2</v>
      </c>
      <c r="Z36" s="20" t="n">
        <v>4</v>
      </c>
      <c r="AA36" s="20" t="n">
        <v>5</v>
      </c>
      <c r="AB36" s="20" t="n">
        <v>4</v>
      </c>
      <c r="AD36" s="20" t="n">
        <v>3</v>
      </c>
      <c r="AE36" s="20" t="n">
        <v>1</v>
      </c>
      <c r="AF36" s="20" t="n">
        <v>4</v>
      </c>
      <c r="AG36" s="20" t="n">
        <v>2</v>
      </c>
    </row>
    <row r="37">
      <c r="A37" s="7" t="str">
        <f>Secenekler!A37</f>
        <v>qral-c</v>
      </c>
      <c r="B37" s="7" t="str">
        <f>Secenekler!C37</f>
        <v>Araştırma ekibi için kaynak dışa aktarma şablon paketi</v>
      </c>
      <c r="C37" s="20" t="n">
        <v>2</v>
      </c>
      <c r="D37" s="20" t="n">
        <v>3</v>
      </c>
      <c r="E37" s="20" t="n">
        <v>2</v>
      </c>
      <c r="F37" s="20" t="n">
        <v>3</v>
      </c>
      <c r="G37" s="20" t="n">
        <v>3</v>
      </c>
      <c r="H37" s="20" t="n">
        <v>1</v>
      </c>
      <c r="I37" s="20" t="n">
        <v>2</v>
      </c>
      <c r="J37" s="20" t="n">
        <v>2</v>
      </c>
      <c r="K37" s="20" t="n">
        <v>3</v>
      </c>
      <c r="L37" s="20" t="n">
        <v>2</v>
      </c>
      <c r="M37" s="20" t="n">
        <v>2</v>
      </c>
      <c r="N37" s="20" t="n">
        <v>2</v>
      </c>
      <c r="O37" s="5">
        <f>IF((Finans!K37+Finans!L37)/2&lt;14,5,IF((Finans!K37+Finans!L37)/2&lt;28,4,IF((Finans!K37+Finans!L37)/2&lt;=56,3,IF((Finans!K37+Finans!L37)/2&lt;=90,2,1))))</f>
        <v>2</v>
      </c>
      <c r="P37" s="5">
        <f>IF(Finans!I37/Hedef!$C$7&lt;1,5,IF(Finans!I37/Hedef!$C$7&lt;3,4,IF(Finans!I37/Hedef!$C$7&lt;=5,3,IF(Finans!I37/Hedef!$C$7&lt;=8,2,1))))</f>
        <v>4</v>
      </c>
      <c r="Q37" s="20" t="n">
        <v>3</v>
      </c>
      <c r="R37" s="20" t="n">
        <v>3</v>
      </c>
      <c r="S37" s="20" t="n">
        <v>2</v>
      </c>
      <c r="T37" s="20" t="n">
        <v>3</v>
      </c>
      <c r="U37" s="5">
        <f>IF(Finans!AI37&lt;=0,0,IF(Finans!AI37&lt;=5,5,IF(Finans!AI37&lt;10,4,IF(Finans!AI37&lt;=30,3,IF(Finans!AI37&lt;100,2,1)))))</f>
        <v>1</v>
      </c>
      <c r="V37" s="20" t="n">
        <v>2</v>
      </c>
      <c r="W37" s="20" t="n">
        <v>2</v>
      </c>
      <c r="X37" s="20" t="n">
        <v>2</v>
      </c>
      <c r="Y37" s="20" t="n">
        <v>1</v>
      </c>
      <c r="Z37" s="20" t="n">
        <v>3</v>
      </c>
      <c r="AA37" s="20" t="n">
        <v>3</v>
      </c>
      <c r="AB37" s="20" t="n">
        <v>3</v>
      </c>
      <c r="AD37" s="20" t="n">
        <v>2</v>
      </c>
      <c r="AE37" s="20" t="n">
        <v>1</v>
      </c>
      <c r="AF37" s="20" t="n">
        <v>2</v>
      </c>
      <c r="AG37" s="20" t="n">
        <v>2</v>
      </c>
    </row>
    <row r="38">
      <c r="A38" s="7" t="str">
        <f>Secenekler!A38</f>
        <v>frontend-atlasi-a</v>
      </c>
      <c r="B38" s="7" t="str">
        <f>Secenekler!C38</f>
        <v>Eğitmen lisansı ve AI ile Eğitim Sitesi Kiti</v>
      </c>
      <c r="C38" s="20" t="n">
        <v>3</v>
      </c>
      <c r="D38" s="20" t="n">
        <v>3</v>
      </c>
      <c r="E38" s="20" t="n">
        <v>2</v>
      </c>
      <c r="F38" s="20" t="n">
        <v>3</v>
      </c>
      <c r="G38" s="20" t="n">
        <v>4</v>
      </c>
      <c r="H38" s="20" t="n">
        <v>2</v>
      </c>
      <c r="I38" s="20" t="n">
        <v>2</v>
      </c>
      <c r="J38" s="20" t="n">
        <v>2</v>
      </c>
      <c r="K38" s="20" t="n">
        <v>2</v>
      </c>
      <c r="L38" s="20" t="n">
        <v>2</v>
      </c>
      <c r="M38" s="20" t="n">
        <v>3</v>
      </c>
      <c r="N38" s="20" t="n">
        <v>3</v>
      </c>
      <c r="O38" s="5">
        <f>IF((Finans!K38+Finans!L38)/2&lt;14,5,IF((Finans!K38+Finans!L38)/2&lt;28,4,IF((Finans!K38+Finans!L38)/2&lt;=56,3,IF((Finans!K38+Finans!L38)/2&lt;=90,2,1))))</f>
        <v>3</v>
      </c>
      <c r="P38" s="5">
        <f>IF(Finans!I38/Hedef!$C$7&lt;1,5,IF(Finans!I38/Hedef!$C$7&lt;3,4,IF(Finans!I38/Hedef!$C$7&lt;=5,3,IF(Finans!I38/Hedef!$C$7&lt;=8,2,1))))</f>
        <v>3</v>
      </c>
      <c r="Q38" s="20" t="n">
        <v>3</v>
      </c>
      <c r="R38" s="20" t="n">
        <v>3</v>
      </c>
      <c r="S38" s="20" t="n">
        <v>3</v>
      </c>
      <c r="T38" s="20" t="n">
        <v>3</v>
      </c>
      <c r="U38" s="5">
        <f>IF(Finans!AI38&lt;=0,0,IF(Finans!AI38&lt;=5,5,IF(Finans!AI38&lt;10,4,IF(Finans!AI38&lt;=30,3,IF(Finans!AI38&lt;100,2,1)))))</f>
        <v>1</v>
      </c>
      <c r="V38" s="20" t="n">
        <v>2</v>
      </c>
      <c r="W38" s="20" t="n">
        <v>3</v>
      </c>
      <c r="X38" s="20" t="n">
        <v>3</v>
      </c>
      <c r="Y38" s="20" t="n">
        <v>2</v>
      </c>
      <c r="Z38" s="20" t="n">
        <v>3</v>
      </c>
      <c r="AA38" s="20" t="n">
        <v>4</v>
      </c>
      <c r="AB38" s="20" t="n">
        <v>4</v>
      </c>
      <c r="AD38" s="20" t="n">
        <v>2</v>
      </c>
      <c r="AE38" s="20" t="n">
        <v>1</v>
      </c>
      <c r="AF38" s="20" t="n">
        <v>3</v>
      </c>
      <c r="AG38" s="20" t="n">
        <v>3</v>
      </c>
    </row>
    <row r="39">
      <c r="A39" s="7" t="str">
        <f>Secenekler!A39</f>
        <v>frontend-atlasi-b</v>
      </c>
      <c r="B39" s="7" t="str">
        <f>Secenekler!C39</f>
        <v>Laboratuvar alıştırma paketi (öğrenenlere, arama ile)</v>
      </c>
      <c r="C39" s="20" t="n">
        <v>2</v>
      </c>
      <c r="D39" s="20" t="n">
        <v>3</v>
      </c>
      <c r="E39" s="20" t="n">
        <v>4</v>
      </c>
      <c r="F39" s="20" t="n">
        <v>3</v>
      </c>
      <c r="G39" s="20" t="n">
        <v>5</v>
      </c>
      <c r="H39" s="20" t="n">
        <v>1</v>
      </c>
      <c r="I39" s="20" t="n">
        <v>1</v>
      </c>
      <c r="J39" s="20" t="n">
        <v>3</v>
      </c>
      <c r="K39" s="20" t="n">
        <v>3</v>
      </c>
      <c r="L39" s="20" t="n">
        <v>2</v>
      </c>
      <c r="M39" s="20" t="n">
        <v>3</v>
      </c>
      <c r="N39" s="20" t="n">
        <v>2</v>
      </c>
      <c r="O39" s="5">
        <f>IF((Finans!K39+Finans!L39)/2&lt;14,5,IF((Finans!K39+Finans!L39)/2&lt;28,4,IF((Finans!K39+Finans!L39)/2&lt;=56,3,IF((Finans!K39+Finans!L39)/2&lt;=90,2,1))))</f>
        <v>2</v>
      </c>
      <c r="P39" s="5">
        <f>IF(Finans!I39/Hedef!$C$7&lt;1,5,IF(Finans!I39/Hedef!$C$7&lt;3,4,IF(Finans!I39/Hedef!$C$7&lt;=5,3,IF(Finans!I39/Hedef!$C$7&lt;=8,2,1))))</f>
        <v>4</v>
      </c>
      <c r="Q39" s="20" t="n">
        <v>5</v>
      </c>
      <c r="R39" s="20" t="n">
        <v>4</v>
      </c>
      <c r="S39" s="20" t="n">
        <v>5</v>
      </c>
      <c r="T39" s="20" t="n">
        <v>5</v>
      </c>
      <c r="U39" s="5">
        <f>IF(Finans!AI39&lt;=0,0,IF(Finans!AI39&lt;=5,5,IF(Finans!AI39&lt;10,4,IF(Finans!AI39&lt;=30,3,IF(Finans!AI39&lt;100,2,1)))))</f>
        <v>1</v>
      </c>
      <c r="V39" s="20" t="n">
        <v>1</v>
      </c>
      <c r="W39" s="20" t="n">
        <v>3</v>
      </c>
      <c r="X39" s="20" t="n">
        <v>3</v>
      </c>
      <c r="Y39" s="20" t="n">
        <v>1</v>
      </c>
      <c r="Z39" s="20" t="n">
        <v>5</v>
      </c>
      <c r="AA39" s="20" t="n">
        <v>5</v>
      </c>
      <c r="AB39" s="20" t="n">
        <v>5</v>
      </c>
      <c r="AD39" s="20" t="n">
        <v>3</v>
      </c>
      <c r="AE39" s="20" t="n">
        <v>1</v>
      </c>
      <c r="AF39" s="20" t="n">
        <v>4</v>
      </c>
      <c r="AG39" s="20" t="n">
        <v>4</v>
      </c>
    </row>
    <row r="40">
      <c r="A40" s="7" t="str">
        <f>Secenekler!A40</f>
        <v>frontend-atlasi-c</v>
      </c>
      <c r="B40" s="7" t="str">
        <f>Secenekler!C40</f>
        <v>Eğitmene sabit kapsamlı ders ve laboratuvar üretimi</v>
      </c>
      <c r="C40" s="20" t="n">
        <v>3</v>
      </c>
      <c r="D40" s="20" t="n">
        <v>3</v>
      </c>
      <c r="E40" s="20" t="n">
        <v>2</v>
      </c>
      <c r="F40" s="20" t="n">
        <v>3</v>
      </c>
      <c r="G40" s="20" t="n">
        <v>4</v>
      </c>
      <c r="H40" s="20" t="n">
        <v>1</v>
      </c>
      <c r="I40" s="20" t="n">
        <v>2</v>
      </c>
      <c r="J40" s="20" t="n">
        <v>2</v>
      </c>
      <c r="K40" s="20" t="n">
        <v>3</v>
      </c>
      <c r="L40" s="20" t="n">
        <v>2</v>
      </c>
      <c r="M40" s="20" t="n">
        <v>3</v>
      </c>
      <c r="N40" s="20" t="n">
        <v>3</v>
      </c>
      <c r="O40" s="5">
        <f>IF((Finans!K40+Finans!L40)/2&lt;14,5,IF((Finans!K40+Finans!L40)/2&lt;28,4,IF((Finans!K40+Finans!L40)/2&lt;=56,3,IF((Finans!K40+Finans!L40)/2&lt;=90,2,1))))</f>
        <v>3</v>
      </c>
      <c r="P40" s="5">
        <f>IF(Finans!I40/Hedef!$C$7&lt;1,5,IF(Finans!I40/Hedef!$C$7&lt;3,4,IF(Finans!I40/Hedef!$C$7&lt;=5,3,IF(Finans!I40/Hedef!$C$7&lt;=8,2,1))))</f>
        <v>4</v>
      </c>
      <c r="Q40" s="20" t="n">
        <v>3</v>
      </c>
      <c r="R40" s="20" t="n">
        <v>2</v>
      </c>
      <c r="S40" s="20" t="n">
        <v>1</v>
      </c>
      <c r="T40" s="20" t="n">
        <v>4</v>
      </c>
      <c r="U40" s="5">
        <f>IF(Finans!AI40&lt;=0,0,IF(Finans!AI40&lt;=5,5,IF(Finans!AI40&lt;10,4,IF(Finans!AI40&lt;=30,3,IF(Finans!AI40&lt;100,2,1)))))</f>
        <v>2</v>
      </c>
      <c r="V40" s="20" t="n">
        <v>2</v>
      </c>
      <c r="W40" s="20" t="n">
        <v>2</v>
      </c>
      <c r="X40" s="20" t="n">
        <v>3</v>
      </c>
      <c r="Y40" s="20" t="n">
        <v>2</v>
      </c>
      <c r="Z40" s="20" t="n">
        <v>2</v>
      </c>
      <c r="AA40" s="20" t="n">
        <v>4</v>
      </c>
      <c r="AB40" s="20" t="n">
        <v>2</v>
      </c>
      <c r="AD40" s="20" t="n">
        <v>2</v>
      </c>
      <c r="AE40" s="20" t="n">
        <v>1</v>
      </c>
      <c r="AF40" s="20" t="n">
        <v>1</v>
      </c>
      <c r="AG40" s="20" t="n">
        <v>3</v>
      </c>
    </row>
    <row r="41">
      <c r="A41" s="7" t="str">
        <f>Secenekler!A41</f>
        <v>karar-kitabi-a</v>
      </c>
      <c r="B41" s="7" t="str">
        <f>Secenekler!C41</f>
        <v>Yarım günlük kurumsal karar atölyesi</v>
      </c>
      <c r="C41" s="20" t="n">
        <v>2</v>
      </c>
      <c r="D41" s="20" t="n">
        <v>2</v>
      </c>
      <c r="E41" s="20" t="n">
        <v>2</v>
      </c>
      <c r="F41" s="20" t="n">
        <v>3</v>
      </c>
      <c r="G41" s="20" t="n">
        <v>3</v>
      </c>
      <c r="H41" s="20" t="n">
        <v>2</v>
      </c>
      <c r="I41" s="20" t="n">
        <v>2</v>
      </c>
      <c r="J41" s="20" t="n">
        <v>2</v>
      </c>
      <c r="K41" s="20" t="n">
        <v>3</v>
      </c>
      <c r="L41" s="20" t="n">
        <v>1</v>
      </c>
      <c r="M41" s="20" t="n">
        <v>3</v>
      </c>
      <c r="N41" s="20" t="n">
        <v>3</v>
      </c>
      <c r="O41" s="5">
        <f>IF((Finans!K41+Finans!L41)/2&lt;14,5,IF((Finans!K41+Finans!L41)/2&lt;28,4,IF((Finans!K41+Finans!L41)/2&lt;=56,3,IF((Finans!K41+Finans!L41)/2&lt;=90,2,1))))</f>
        <v>1</v>
      </c>
      <c r="P41" s="5">
        <f>IF(Finans!I41/Hedef!$C$7&lt;1,5,IF(Finans!I41/Hedef!$C$7&lt;3,4,IF(Finans!I41/Hedef!$C$7&lt;=5,3,IF(Finans!I41/Hedef!$C$7&lt;=8,2,1))))</f>
        <v>3</v>
      </c>
      <c r="Q41" s="20" t="n">
        <v>2</v>
      </c>
      <c r="R41" s="20" t="n">
        <v>3</v>
      </c>
      <c r="S41" s="20" t="n">
        <v>1</v>
      </c>
      <c r="T41" s="20" t="n">
        <v>3</v>
      </c>
      <c r="U41" s="5">
        <f>IF(Finans!AI41&lt;=0,0,IF(Finans!AI41&lt;=5,5,IF(Finans!AI41&lt;10,4,IF(Finans!AI41&lt;=30,3,IF(Finans!AI41&lt;100,2,1)))))</f>
        <v>2</v>
      </c>
      <c r="V41" s="20" t="n">
        <v>2</v>
      </c>
      <c r="W41" s="20" t="n">
        <v>3</v>
      </c>
      <c r="X41" s="20" t="n">
        <v>3</v>
      </c>
      <c r="Y41" s="20" t="n">
        <v>3</v>
      </c>
      <c r="Z41" s="20" t="n">
        <v>2</v>
      </c>
      <c r="AA41" s="20" t="n">
        <v>4</v>
      </c>
      <c r="AB41" s="20" t="n">
        <v>3</v>
      </c>
      <c r="AD41" s="20" t="n">
        <v>2</v>
      </c>
      <c r="AE41" s="20" t="n">
        <v>1</v>
      </c>
      <c r="AF41" s="20" t="n">
        <v>1</v>
      </c>
      <c r="AG41" s="20" t="n">
        <v>3</v>
      </c>
    </row>
    <row r="42">
      <c r="A42" s="7" t="str">
        <f>Secenekler!A42</f>
        <v>karar-kitabi-b</v>
      </c>
      <c r="B42" s="7" t="str">
        <f>Secenekler!C42</f>
        <v>Tema çalışma kâğıdı paketleri ve tam set</v>
      </c>
      <c r="C42" s="20" t="n">
        <v>1</v>
      </c>
      <c r="D42" s="20" t="n">
        <v>2</v>
      </c>
      <c r="E42" s="20" t="n">
        <v>3</v>
      </c>
      <c r="F42" s="20" t="n">
        <v>4</v>
      </c>
      <c r="G42" s="20" t="n">
        <v>5</v>
      </c>
      <c r="H42" s="20" t="n">
        <v>2</v>
      </c>
      <c r="I42" s="20" t="n">
        <v>2</v>
      </c>
      <c r="J42" s="20" t="n">
        <v>3</v>
      </c>
      <c r="K42" s="20" t="n">
        <v>3</v>
      </c>
      <c r="L42" s="20" t="n">
        <v>2</v>
      </c>
      <c r="M42" s="20" t="n">
        <v>2</v>
      </c>
      <c r="N42" s="20" t="n">
        <v>2</v>
      </c>
      <c r="O42" s="5">
        <f>IF((Finans!K42+Finans!L42)/2&lt;14,5,IF((Finans!K42+Finans!L42)/2&lt;28,4,IF((Finans!K42+Finans!L42)/2&lt;=56,3,IF((Finans!K42+Finans!L42)/2&lt;=90,2,1))))</f>
        <v>1</v>
      </c>
      <c r="P42" s="5">
        <f>IF(Finans!I42/Hedef!$C$7&lt;1,5,IF(Finans!I42/Hedef!$C$7&lt;3,4,IF(Finans!I42/Hedef!$C$7&lt;=5,3,IF(Finans!I42/Hedef!$C$7&lt;=8,2,1))))</f>
        <v>2</v>
      </c>
      <c r="Q42" s="20" t="n">
        <v>5</v>
      </c>
      <c r="R42" s="20" t="n">
        <v>4</v>
      </c>
      <c r="S42" s="20" t="n">
        <v>5</v>
      </c>
      <c r="T42" s="20" t="n">
        <v>5</v>
      </c>
      <c r="U42" s="5">
        <f>IF(Finans!AI42&lt;=0,0,IF(Finans!AI42&lt;=5,5,IF(Finans!AI42&lt;10,4,IF(Finans!AI42&lt;=30,3,IF(Finans!AI42&lt;100,2,1)))))</f>
        <v>1</v>
      </c>
      <c r="V42" s="20" t="n">
        <v>2</v>
      </c>
      <c r="W42" s="20" t="n">
        <v>3</v>
      </c>
      <c r="X42" s="20" t="n">
        <v>3</v>
      </c>
      <c r="Y42" s="20" t="n">
        <v>2</v>
      </c>
      <c r="Z42" s="20" t="n">
        <v>5</v>
      </c>
      <c r="AA42" s="20" t="n">
        <v>4</v>
      </c>
      <c r="AB42" s="20" t="n">
        <v>5</v>
      </c>
      <c r="AD42" s="20" t="n">
        <v>2</v>
      </c>
      <c r="AE42" s="20" t="n">
        <v>1</v>
      </c>
      <c r="AF42" s="20" t="n">
        <v>4</v>
      </c>
      <c r="AG42" s="20" t="n">
        <v>4</v>
      </c>
    </row>
    <row r="43">
      <c r="A43" s="7" t="str">
        <f>Secenekler!A43</f>
        <v>karar-kitabi-c</v>
      </c>
      <c r="B43" s="7" t="str">
        <f>Secenekler!C43</f>
        <v>Facilitatör için özgün karar memosu kiti</v>
      </c>
      <c r="C43" s="20" t="n">
        <v>2</v>
      </c>
      <c r="D43" s="20" t="n">
        <v>3</v>
      </c>
      <c r="E43" s="20" t="n">
        <v>2</v>
      </c>
      <c r="F43" s="20" t="n">
        <v>3</v>
      </c>
      <c r="G43" s="20" t="n">
        <v>4</v>
      </c>
      <c r="H43" s="20" t="n">
        <v>2</v>
      </c>
      <c r="I43" s="20" t="n">
        <v>1</v>
      </c>
      <c r="J43" s="20" t="n">
        <v>1</v>
      </c>
      <c r="K43" s="20" t="n">
        <v>1</v>
      </c>
      <c r="L43" s="20" t="n">
        <v>2</v>
      </c>
      <c r="M43" s="20" t="n">
        <v>2</v>
      </c>
      <c r="N43" s="20" t="n">
        <v>2</v>
      </c>
      <c r="O43" s="5">
        <f>IF((Finans!K43+Finans!L43)/2&lt;14,5,IF((Finans!K43+Finans!L43)/2&lt;28,4,IF((Finans!K43+Finans!L43)/2&lt;=56,3,IF((Finans!K43+Finans!L43)/2&lt;=90,2,1))))</f>
        <v>1</v>
      </c>
      <c r="P43" s="5">
        <f>IF(Finans!I43/Hedef!$C$7&lt;1,5,IF(Finans!I43/Hedef!$C$7&lt;3,4,IF(Finans!I43/Hedef!$C$7&lt;=5,3,IF(Finans!I43/Hedef!$C$7&lt;=8,2,1))))</f>
        <v>3</v>
      </c>
      <c r="Q43" s="20" t="n">
        <v>3</v>
      </c>
      <c r="R43" s="20" t="n">
        <v>3</v>
      </c>
      <c r="S43" s="20" t="n">
        <v>2</v>
      </c>
      <c r="T43" s="20" t="n">
        <v>3</v>
      </c>
      <c r="U43" s="5">
        <f>IF(Finans!AI43&lt;=0,0,IF(Finans!AI43&lt;=5,5,IF(Finans!AI43&lt;10,4,IF(Finans!AI43&lt;=30,3,IF(Finans!AI43&lt;100,2,1)))))</f>
        <v>1</v>
      </c>
      <c r="V43" s="20" t="n">
        <v>3</v>
      </c>
      <c r="W43" s="20" t="n">
        <v>3</v>
      </c>
      <c r="X43" s="20" t="n">
        <v>2</v>
      </c>
      <c r="Y43" s="20" t="n">
        <v>2</v>
      </c>
      <c r="Z43" s="20" t="n">
        <v>3</v>
      </c>
      <c r="AA43" s="20" t="n">
        <v>3</v>
      </c>
      <c r="AB43" s="20" t="n">
        <v>4</v>
      </c>
      <c r="AD43" s="20" t="n">
        <v>2</v>
      </c>
      <c r="AE43" s="20" t="n">
        <v>1</v>
      </c>
      <c r="AF43" s="20" t="n">
        <v>3</v>
      </c>
      <c r="AG43" s="20" t="n">
        <v>2</v>
      </c>
    </row>
    <row r="44">
      <c r="A44" s="7" t="str">
        <f>Secenekler!A44</f>
        <v>kurucu-sunum-hizmeti-a</v>
      </c>
      <c r="B44" s="7" t="str">
        <f>Secenekler!C44</f>
        <v>Hibe ve yatırım sunum paketi: site, canlı model, doğrulama</v>
      </c>
      <c r="C44" s="20" t="n">
        <v>3</v>
      </c>
      <c r="D44" s="20" t="n">
        <v>4</v>
      </c>
      <c r="E44" s="20" t="n">
        <v>3</v>
      </c>
      <c r="F44" s="20" t="n">
        <v>4</v>
      </c>
      <c r="G44" s="20" t="n">
        <v>4</v>
      </c>
      <c r="H44" s="20" t="n">
        <v>2</v>
      </c>
      <c r="I44" s="20" t="n">
        <v>2</v>
      </c>
      <c r="J44" s="20" t="n">
        <v>3</v>
      </c>
      <c r="K44" s="20" t="n">
        <v>3</v>
      </c>
      <c r="L44" s="20" t="n">
        <v>2</v>
      </c>
      <c r="M44" s="20" t="n">
        <v>3</v>
      </c>
      <c r="N44" s="20" t="n">
        <v>3</v>
      </c>
      <c r="O44" s="5">
        <f>IF((Finans!K44+Finans!L44)/2&lt;14,5,IF((Finans!K44+Finans!L44)/2&lt;28,4,IF((Finans!K44+Finans!L44)/2&lt;=56,3,IF((Finans!K44+Finans!L44)/2&lt;=90,2,1))))</f>
        <v>3</v>
      </c>
      <c r="P44" s="5">
        <f>IF(Finans!I44/Hedef!$C$7&lt;1,5,IF(Finans!I44/Hedef!$C$7&lt;3,4,IF(Finans!I44/Hedef!$C$7&lt;=5,3,IF(Finans!I44/Hedef!$C$7&lt;=8,2,1))))</f>
        <v>3</v>
      </c>
      <c r="Q44" s="20" t="n">
        <v>3</v>
      </c>
      <c r="R44" s="20" t="n">
        <v>2</v>
      </c>
      <c r="S44" s="20" t="n">
        <v>1</v>
      </c>
      <c r="T44" s="20" t="n">
        <v>2</v>
      </c>
      <c r="U44" s="5">
        <f>IF(Finans!AI44&lt;=0,0,IF(Finans!AI44&lt;=5,5,IF(Finans!AI44&lt;10,4,IF(Finans!AI44&lt;=30,3,IF(Finans!AI44&lt;100,2,1)))))</f>
        <v>3</v>
      </c>
      <c r="V44" s="20" t="n">
        <v>2</v>
      </c>
      <c r="W44" s="20" t="n">
        <v>3</v>
      </c>
      <c r="X44" s="20" t="n">
        <v>3</v>
      </c>
      <c r="Y44" s="20" t="n">
        <v>3</v>
      </c>
      <c r="Z44" s="20" t="n">
        <v>2</v>
      </c>
      <c r="AA44" s="20" t="n">
        <v>3</v>
      </c>
      <c r="AB44" s="20" t="n">
        <v>3</v>
      </c>
      <c r="AD44" s="20" t="n">
        <v>3</v>
      </c>
      <c r="AE44" s="20" t="n">
        <v>2</v>
      </c>
      <c r="AF44" s="20" t="n">
        <v>2</v>
      </c>
      <c r="AG44" s="20" t="n">
        <v>4</v>
      </c>
    </row>
    <row r="45">
      <c r="A45" s="7" t="str">
        <f>Secenekler!A45</f>
        <v>kurucu-sunum-hizmeti-b</v>
      </c>
      <c r="B45" s="7" t="str">
        <f>Secenekler!C45</f>
        <v>Rakam tutarlılığı denetimi: tek dosya, sabit fiyat</v>
      </c>
      <c r="C45" s="20" t="n">
        <v>3</v>
      </c>
      <c r="D45" s="20" t="n">
        <v>4</v>
      </c>
      <c r="E45" s="20" t="n">
        <v>2</v>
      </c>
      <c r="F45" s="20" t="n">
        <v>3</v>
      </c>
      <c r="G45" s="20" t="n">
        <v>5</v>
      </c>
      <c r="H45" s="20" t="n">
        <v>2</v>
      </c>
      <c r="I45" s="20" t="n">
        <v>2</v>
      </c>
      <c r="J45" s="20" t="n">
        <v>2</v>
      </c>
      <c r="K45" s="20" t="n">
        <v>3</v>
      </c>
      <c r="L45" s="20" t="n">
        <v>1</v>
      </c>
      <c r="M45" s="20" t="n">
        <v>3</v>
      </c>
      <c r="N45" s="20" t="n">
        <v>3</v>
      </c>
      <c r="O45" s="5">
        <f>IF((Finans!K45+Finans!L45)/2&lt;14,5,IF((Finans!K45+Finans!L45)/2&lt;28,4,IF((Finans!K45+Finans!L45)/2&lt;=56,3,IF((Finans!K45+Finans!L45)/2&lt;=90,2,1))))</f>
        <v>3</v>
      </c>
      <c r="P45" s="5">
        <f>IF(Finans!I45/Hedef!$C$7&lt;1,5,IF(Finans!I45/Hedef!$C$7&lt;3,4,IF(Finans!I45/Hedef!$C$7&lt;=5,3,IF(Finans!I45/Hedef!$C$7&lt;=8,2,1))))</f>
        <v>5</v>
      </c>
      <c r="Q45" s="20" t="n">
        <v>4</v>
      </c>
      <c r="R45" s="20" t="n">
        <v>3</v>
      </c>
      <c r="S45" s="20" t="n">
        <v>2</v>
      </c>
      <c r="T45" s="20" t="n">
        <v>3</v>
      </c>
      <c r="U45" s="5">
        <f>IF(Finans!AI45&lt;=0,0,IF(Finans!AI45&lt;=5,5,IF(Finans!AI45&lt;10,4,IF(Finans!AI45&lt;=30,3,IF(Finans!AI45&lt;100,2,1)))))</f>
        <v>3</v>
      </c>
      <c r="V45" s="20" t="n">
        <v>2</v>
      </c>
      <c r="W45" s="20" t="n">
        <v>2</v>
      </c>
      <c r="X45" s="20" t="n">
        <v>3</v>
      </c>
      <c r="Y45" s="20" t="n">
        <v>2</v>
      </c>
      <c r="Z45" s="20" t="n">
        <v>2</v>
      </c>
      <c r="AA45" s="20" t="n">
        <v>3</v>
      </c>
      <c r="AB45" s="20" t="n">
        <v>4</v>
      </c>
      <c r="AD45" s="20" t="n">
        <v>2</v>
      </c>
      <c r="AE45" s="20" t="n">
        <v>1</v>
      </c>
      <c r="AF45" s="20" t="n">
        <v>1</v>
      </c>
      <c r="AG45" s="20" t="n">
        <v>3</v>
      </c>
    </row>
    <row r="46">
      <c r="A46" s="7" t="str">
        <f>Secenekler!A46</f>
        <v>kurucu-sunum-hizmeti-c</v>
      </c>
      <c r="B46" s="7" t="str">
        <f>Secenekler!C46</f>
        <v>Kuluçka ve TTO yıllık lisansı: şablon, doğrulayıcı, eğitim</v>
      </c>
      <c r="C46" s="20" t="n">
        <v>2</v>
      </c>
      <c r="D46" s="20" t="n">
        <v>3</v>
      </c>
      <c r="E46" s="20" t="n">
        <v>2</v>
      </c>
      <c r="F46" s="20" t="n">
        <v>3</v>
      </c>
      <c r="G46" s="20" t="n">
        <v>2</v>
      </c>
      <c r="H46" s="20" t="n">
        <v>1</v>
      </c>
      <c r="I46" s="20" t="n">
        <v>2</v>
      </c>
      <c r="J46" s="20" t="n">
        <v>1</v>
      </c>
      <c r="K46" s="20" t="n">
        <v>3</v>
      </c>
      <c r="L46" s="20" t="n">
        <v>3</v>
      </c>
      <c r="M46" s="20" t="n">
        <v>4</v>
      </c>
      <c r="N46" s="20" t="n">
        <v>3</v>
      </c>
      <c r="O46" s="5">
        <f>IF((Finans!K46+Finans!L46)/2&lt;14,5,IF((Finans!K46+Finans!L46)/2&lt;28,4,IF((Finans!K46+Finans!L46)/2&lt;=56,3,IF((Finans!K46+Finans!L46)/2&lt;=90,2,1))))</f>
        <v>1</v>
      </c>
      <c r="P46" s="5">
        <f>IF(Finans!I46/Hedef!$C$7&lt;1,5,IF(Finans!I46/Hedef!$C$7&lt;3,4,IF(Finans!I46/Hedef!$C$7&lt;=5,3,IF(Finans!I46/Hedef!$C$7&lt;=8,2,1))))</f>
        <v>3</v>
      </c>
      <c r="Q46" s="20" t="n">
        <v>2</v>
      </c>
      <c r="R46" s="20" t="n">
        <v>2</v>
      </c>
      <c r="S46" s="20" t="n">
        <v>1</v>
      </c>
      <c r="T46" s="20" t="n">
        <v>2</v>
      </c>
      <c r="U46" s="5">
        <f>IF(Finans!AI46&lt;=0,0,IF(Finans!AI46&lt;=5,5,IF(Finans!AI46&lt;10,4,IF(Finans!AI46&lt;=30,3,IF(Finans!AI46&lt;100,2,1)))))</f>
        <v>4</v>
      </c>
      <c r="V46" s="20" t="n">
        <v>3</v>
      </c>
      <c r="W46" s="20" t="n">
        <v>3</v>
      </c>
      <c r="X46" s="20" t="n">
        <v>3</v>
      </c>
      <c r="Y46" s="20" t="n">
        <v>3</v>
      </c>
      <c r="Z46" s="20" t="n">
        <v>2</v>
      </c>
      <c r="AA46" s="20" t="n">
        <v>4</v>
      </c>
      <c r="AB46" s="20" t="n">
        <v>2</v>
      </c>
      <c r="AD46" s="20" t="n">
        <v>2</v>
      </c>
      <c r="AE46" s="20" t="n">
        <v>2</v>
      </c>
      <c r="AF46" s="20" t="n">
        <v>3</v>
      </c>
      <c r="AG46" s="20" t="n">
        <v>4</v>
      </c>
    </row>
    <row r="47">
      <c r="A47" s="7" t="str">
        <f>Secenekler!A47</f>
        <v>vize-operasyon-a</v>
      </c>
      <c r="B47" s="7" t="str">
        <f>Secenekler!C47</f>
        <v>Acente paneli: 90 günlük pilot, sonra abonelik</v>
      </c>
      <c r="C47" s="20" t="n">
        <v>3</v>
      </c>
      <c r="D47" s="20" t="n">
        <v>3</v>
      </c>
      <c r="E47" s="20" t="n">
        <v>2</v>
      </c>
      <c r="F47" s="20" t="n">
        <v>3</v>
      </c>
      <c r="G47" s="20" t="n">
        <v>4</v>
      </c>
      <c r="H47" s="20" t="n">
        <v>1</v>
      </c>
      <c r="I47" s="20" t="n">
        <v>2</v>
      </c>
      <c r="J47" s="20" t="n">
        <v>2</v>
      </c>
      <c r="K47" s="20" t="n">
        <v>3</v>
      </c>
      <c r="L47" s="20" t="n">
        <v>2</v>
      </c>
      <c r="M47" s="20" t="n">
        <v>3</v>
      </c>
      <c r="N47" s="20" t="n">
        <v>4</v>
      </c>
      <c r="O47" s="5">
        <f>IF((Finans!K47+Finans!L47)/2&lt;14,5,IF((Finans!K47+Finans!L47)/2&lt;28,4,IF((Finans!K47+Finans!L47)/2&lt;=56,3,IF((Finans!K47+Finans!L47)/2&lt;=90,2,1))))</f>
        <v>1</v>
      </c>
      <c r="P47" s="5">
        <f>IF(Finans!I47/Hedef!$C$7&lt;1,5,IF(Finans!I47/Hedef!$C$7&lt;3,4,IF(Finans!I47/Hedef!$C$7&lt;=5,3,IF(Finans!I47/Hedef!$C$7&lt;=8,2,1))))</f>
        <v>2</v>
      </c>
      <c r="Q47" s="20" t="n">
        <v>2</v>
      </c>
      <c r="R47" s="20" t="n">
        <v>3</v>
      </c>
      <c r="S47" s="20" t="n">
        <v>2</v>
      </c>
      <c r="T47" s="20" t="n">
        <v>2</v>
      </c>
      <c r="U47" s="5">
        <f>IF(Finans!AI47&lt;=0,0,IF(Finans!AI47&lt;=5,5,IF(Finans!AI47&lt;10,4,IF(Finans!AI47&lt;=30,3,IF(Finans!AI47&lt;100,2,1)))))</f>
        <v>2</v>
      </c>
      <c r="V47" s="20" t="n">
        <v>5</v>
      </c>
      <c r="W47" s="20" t="n">
        <v>4</v>
      </c>
      <c r="X47" s="20" t="n">
        <v>2</v>
      </c>
      <c r="Y47" s="20" t="n">
        <v>2</v>
      </c>
      <c r="Z47" s="20" t="n">
        <v>2</v>
      </c>
      <c r="AA47" s="20" t="n">
        <v>3</v>
      </c>
      <c r="AB47" s="20" t="n">
        <v>4</v>
      </c>
      <c r="AD47" s="20" t="n">
        <v>2</v>
      </c>
      <c r="AE47" s="20" t="n">
        <v>2</v>
      </c>
      <c r="AF47" s="20" t="n">
        <v>3</v>
      </c>
      <c r="AG47" s="20" t="n">
        <v>2</v>
      </c>
    </row>
    <row r="48">
      <c r="A48" s="7" t="str">
        <f>Secenekler!A48</f>
        <v>vize-operasyon-b</v>
      </c>
      <c r="B48" s="7" t="str">
        <f>Secenekler!C48</f>
        <v>Acente Sheet doğrulama ve eksik belge kuyruğu (ücretli pilot)</v>
      </c>
      <c r="C48" s="20" t="n">
        <v>3</v>
      </c>
      <c r="D48" s="20" t="n">
        <v>3</v>
      </c>
      <c r="E48" s="20" t="n">
        <v>2</v>
      </c>
      <c r="F48" s="20" t="n">
        <v>3</v>
      </c>
      <c r="G48" s="20" t="n">
        <v>3</v>
      </c>
      <c r="H48" s="20" t="n">
        <v>1</v>
      </c>
      <c r="I48" s="20" t="n">
        <v>1</v>
      </c>
      <c r="J48" s="20" t="n">
        <v>2</v>
      </c>
      <c r="K48" s="20" t="n">
        <v>2</v>
      </c>
      <c r="L48" s="20" t="n">
        <v>1</v>
      </c>
      <c r="M48" s="20" t="n">
        <v>3</v>
      </c>
      <c r="N48" s="20" t="n">
        <v>2</v>
      </c>
      <c r="O48" s="5">
        <f>IF((Finans!K48+Finans!L48)/2&lt;14,5,IF((Finans!K48+Finans!L48)/2&lt;28,4,IF((Finans!K48+Finans!L48)/2&lt;=56,3,IF((Finans!K48+Finans!L48)/2&lt;=90,2,1))))</f>
        <v>2</v>
      </c>
      <c r="P48" s="5">
        <f>IF(Finans!I48/Hedef!$C$7&lt;1,5,IF(Finans!I48/Hedef!$C$7&lt;3,4,IF(Finans!I48/Hedef!$C$7&lt;=5,3,IF(Finans!I48/Hedef!$C$7&lt;=8,2,1))))</f>
        <v>2</v>
      </c>
      <c r="Q48" s="20" t="n">
        <v>2</v>
      </c>
      <c r="R48" s="20" t="n">
        <v>3</v>
      </c>
      <c r="S48" s="20" t="n">
        <v>1</v>
      </c>
      <c r="T48" s="20" t="n">
        <v>2</v>
      </c>
      <c r="U48" s="5">
        <f>IF(Finans!AI48&lt;=0,0,IF(Finans!AI48&lt;=5,5,IF(Finans!AI48&lt;10,4,IF(Finans!AI48&lt;=30,3,IF(Finans!AI48&lt;100,2,1)))))</f>
        <v>3</v>
      </c>
      <c r="V48" s="20" t="n">
        <v>5</v>
      </c>
      <c r="W48" s="20" t="n">
        <v>3</v>
      </c>
      <c r="X48" s="20" t="n">
        <v>2</v>
      </c>
      <c r="Y48" s="20" t="n">
        <v>2</v>
      </c>
      <c r="Z48" s="20" t="n">
        <v>2</v>
      </c>
      <c r="AA48" s="20" t="n">
        <v>2</v>
      </c>
      <c r="AB48" s="20" t="n">
        <v>2</v>
      </c>
      <c r="AD48" s="20" t="n">
        <v>2</v>
      </c>
      <c r="AE48" s="20" t="n">
        <v>2</v>
      </c>
      <c r="AF48" s="20" t="n">
        <v>3</v>
      </c>
      <c r="AG48" s="20" t="n">
        <v>2</v>
      </c>
    </row>
    <row r="49">
      <c r="A49" s="7" t="str">
        <f>Secenekler!A49</f>
        <v>vize-operasyon-c</v>
      </c>
      <c r="B49" s="7" t="str">
        <f>Secenekler!C49</f>
        <v>Başvurucu evrak kontrolü: 299/599 ₺ rapor, SEO ile</v>
      </c>
      <c r="C49" s="20" t="n">
        <v>3</v>
      </c>
      <c r="D49" s="20" t="n">
        <v>4</v>
      </c>
      <c r="E49" s="20" t="n">
        <v>4</v>
      </c>
      <c r="F49" s="20" t="n">
        <v>3</v>
      </c>
      <c r="G49" s="20" t="n">
        <v>5</v>
      </c>
      <c r="H49" s="20" t="n">
        <v>2</v>
      </c>
      <c r="I49" s="20" t="n">
        <v>1</v>
      </c>
      <c r="J49" s="20" t="n">
        <v>3</v>
      </c>
      <c r="K49" s="20" t="n">
        <v>3</v>
      </c>
      <c r="L49" s="20" t="n">
        <v>2</v>
      </c>
      <c r="M49" s="20" t="n">
        <v>2</v>
      </c>
      <c r="N49" s="20" t="n">
        <v>2</v>
      </c>
      <c r="O49" s="5">
        <f>IF((Finans!K49+Finans!L49)/2&lt;14,5,IF((Finans!K49+Finans!L49)/2&lt;28,4,IF((Finans!K49+Finans!L49)/2&lt;=56,3,IF((Finans!K49+Finans!L49)/2&lt;=90,2,1))))</f>
        <v>1</v>
      </c>
      <c r="P49" s="5">
        <f>IF(Finans!I49/Hedef!$C$7&lt;1,5,IF(Finans!I49/Hedef!$C$7&lt;3,4,IF(Finans!I49/Hedef!$C$7&lt;=5,3,IF(Finans!I49/Hedef!$C$7&lt;=8,2,1))))</f>
        <v>1</v>
      </c>
      <c r="Q49" s="20" t="n">
        <v>5</v>
      </c>
      <c r="R49" s="20" t="n">
        <v>5</v>
      </c>
      <c r="S49" s="20" t="n">
        <v>4</v>
      </c>
      <c r="T49" s="20" t="n">
        <v>3</v>
      </c>
      <c r="U49" s="5">
        <f>IF(Finans!AI49&lt;=0,0,IF(Finans!AI49&lt;=5,5,IF(Finans!AI49&lt;10,4,IF(Finans!AI49&lt;=30,3,IF(Finans!AI49&lt;100,2,1)))))</f>
        <v>1</v>
      </c>
      <c r="V49" s="20" t="n">
        <v>2</v>
      </c>
      <c r="W49" s="20" t="n">
        <v>3</v>
      </c>
      <c r="X49" s="20" t="n">
        <v>2</v>
      </c>
      <c r="Y49" s="20" t="n">
        <v>2</v>
      </c>
      <c r="Z49" s="20" t="n">
        <v>4</v>
      </c>
      <c r="AA49" s="20" t="n">
        <v>2</v>
      </c>
      <c r="AB49" s="20" t="n">
        <v>4</v>
      </c>
      <c r="AD49" s="20" t="n">
        <v>4</v>
      </c>
      <c r="AE49" s="20" t="n">
        <v>1</v>
      </c>
      <c r="AF49" s="20" t="n">
        <v>4</v>
      </c>
      <c r="AG49" s="20" t="n">
        <v>2</v>
      </c>
    </row>
    <row r="50">
      <c r="A50" s="7" t="str">
        <f>Secenekler!A50</f>
        <v>software-factory-a</v>
      </c>
      <c r="B50" s="7" t="str">
        <f>Secenekler!C50</f>
        <v>Sabit fiyatlı kanıtlı MVP paketi (S/M/L)</v>
      </c>
      <c r="C50" s="20" t="n">
        <v>3</v>
      </c>
      <c r="D50" s="20" t="n">
        <v>3</v>
      </c>
      <c r="E50" s="20" t="n">
        <v>4</v>
      </c>
      <c r="F50" s="20" t="n">
        <v>5</v>
      </c>
      <c r="G50" s="20" t="n">
        <v>4</v>
      </c>
      <c r="H50" s="20" t="n">
        <v>2</v>
      </c>
      <c r="I50" s="20" t="n">
        <v>2</v>
      </c>
      <c r="J50" s="20" t="n">
        <v>3</v>
      </c>
      <c r="K50" s="20" t="n">
        <v>2</v>
      </c>
      <c r="L50" s="20" t="n">
        <v>2</v>
      </c>
      <c r="M50" s="20" t="n">
        <v>3</v>
      </c>
      <c r="N50" s="20" t="n">
        <v>3</v>
      </c>
      <c r="O50" s="5">
        <f>IF((Finans!K50+Finans!L50)/2&lt;14,5,IF((Finans!K50+Finans!L50)/2&lt;28,4,IF((Finans!K50+Finans!L50)/2&lt;=56,3,IF((Finans!K50+Finans!L50)/2&lt;=90,2,1))))</f>
        <v>2</v>
      </c>
      <c r="P50" s="5">
        <f>IF(Finans!I50/Hedef!$C$7&lt;1,5,IF(Finans!I50/Hedef!$C$7&lt;3,4,IF(Finans!I50/Hedef!$C$7&lt;=5,3,IF(Finans!I50/Hedef!$C$7&lt;=8,2,1))))</f>
        <v>2</v>
      </c>
      <c r="Q50" s="20" t="n">
        <v>3</v>
      </c>
      <c r="R50" s="20" t="n">
        <v>2</v>
      </c>
      <c r="S50" s="20" t="n">
        <v>1</v>
      </c>
      <c r="T50" s="20" t="n">
        <v>3</v>
      </c>
      <c r="U50" s="5">
        <f>IF(Finans!AI50&lt;=0,0,IF(Finans!AI50&lt;=5,5,IF(Finans!AI50&lt;10,4,IF(Finans!AI50&lt;=30,3,IF(Finans!AI50&lt;100,2,1)))))</f>
        <v>5</v>
      </c>
      <c r="V50" s="20" t="n">
        <v>3</v>
      </c>
      <c r="W50" s="20" t="n">
        <v>3</v>
      </c>
      <c r="X50" s="20" t="n">
        <v>3</v>
      </c>
      <c r="Y50" s="20" t="n">
        <v>3</v>
      </c>
      <c r="Z50" s="20" t="n">
        <v>2</v>
      </c>
      <c r="AA50" s="20" t="n">
        <v>3</v>
      </c>
      <c r="AB50" s="20" t="n">
        <v>2</v>
      </c>
      <c r="AD50" s="20" t="n">
        <v>3</v>
      </c>
      <c r="AE50" s="20" t="n">
        <v>2</v>
      </c>
      <c r="AF50" s="20" t="n">
        <v>2</v>
      </c>
      <c r="AG50" s="20" t="n">
        <v>4</v>
      </c>
    </row>
    <row r="51">
      <c r="A51" s="7" t="str">
        <f>Secenekler!A51</f>
        <v>software-factory-b</v>
      </c>
      <c r="B51" s="7" t="str">
        <f>Secenekler!C51</f>
        <v>Tek repo için ajan PR makbuzu kurulum hizmeti</v>
      </c>
      <c r="C51" s="20" t="n">
        <v>2</v>
      </c>
      <c r="D51" s="20" t="n">
        <v>2</v>
      </c>
      <c r="E51" s="20" t="n">
        <v>2</v>
      </c>
      <c r="F51" s="20" t="n">
        <v>3</v>
      </c>
      <c r="G51" s="20" t="n">
        <v>3</v>
      </c>
      <c r="H51" s="20" t="n">
        <v>1</v>
      </c>
      <c r="I51" s="20" t="n">
        <v>1</v>
      </c>
      <c r="J51" s="20" t="n">
        <v>2</v>
      </c>
      <c r="K51" s="20" t="n">
        <v>2</v>
      </c>
      <c r="L51" s="20" t="n">
        <v>3</v>
      </c>
      <c r="M51" s="20" t="n">
        <v>2</v>
      </c>
      <c r="N51" s="20" t="n">
        <v>2</v>
      </c>
      <c r="O51" s="5">
        <f>IF((Finans!K51+Finans!L51)/2&lt;14,5,IF((Finans!K51+Finans!L51)/2&lt;28,4,IF((Finans!K51+Finans!L51)/2&lt;=56,3,IF((Finans!K51+Finans!L51)/2&lt;=90,2,1))))</f>
        <v>2</v>
      </c>
      <c r="P51" s="5">
        <f>IF(Finans!I51/Hedef!$C$7&lt;1,5,IF(Finans!I51/Hedef!$C$7&lt;3,4,IF(Finans!I51/Hedef!$C$7&lt;=5,3,IF(Finans!I51/Hedef!$C$7&lt;=8,2,1))))</f>
        <v>3</v>
      </c>
      <c r="Q51" s="20" t="n">
        <v>3</v>
      </c>
      <c r="R51" s="20" t="n">
        <v>3</v>
      </c>
      <c r="S51" s="20" t="n">
        <v>3</v>
      </c>
      <c r="T51" s="20" t="n">
        <v>2</v>
      </c>
      <c r="U51" s="5">
        <f>IF(Finans!AI51&lt;=0,0,IF(Finans!AI51&lt;=5,5,IF(Finans!AI51&lt;10,4,IF(Finans!AI51&lt;=30,3,IF(Finans!AI51&lt;100,2,1)))))</f>
        <v>4</v>
      </c>
      <c r="V51" s="20" t="n">
        <v>3</v>
      </c>
      <c r="W51" s="20" t="n">
        <v>2</v>
      </c>
      <c r="X51" s="20" t="n">
        <v>3</v>
      </c>
      <c r="Y51" s="20" t="n">
        <v>2</v>
      </c>
      <c r="Z51" s="20" t="n">
        <v>2</v>
      </c>
      <c r="AA51" s="20" t="n">
        <v>2</v>
      </c>
      <c r="AB51" s="20" t="n">
        <v>3</v>
      </c>
      <c r="AD51" s="20" t="n">
        <v>3</v>
      </c>
      <c r="AE51" s="20" t="n">
        <v>2</v>
      </c>
      <c r="AF51" s="20" t="n">
        <v>3</v>
      </c>
      <c r="AG51" s="20" t="n">
        <v>4</v>
      </c>
    </row>
    <row r="52">
      <c r="A52" s="7" t="str">
        <f>Secenekler!A52</f>
        <v>software-factory-c</v>
      </c>
      <c r="B52" s="7" t="str">
        <f>Secenekler!C52</f>
        <v>Ajanslara beyaz etiket kanıtlı MVP kapasitesi</v>
      </c>
      <c r="C52" s="20" t="n">
        <v>3</v>
      </c>
      <c r="D52" s="20" t="n">
        <v>2</v>
      </c>
      <c r="E52" s="20" t="n">
        <v>3</v>
      </c>
      <c r="F52" s="20" t="n">
        <v>4</v>
      </c>
      <c r="G52" s="20" t="n">
        <v>4</v>
      </c>
      <c r="H52" s="20" t="n">
        <v>1</v>
      </c>
      <c r="I52" s="20" t="n">
        <v>1</v>
      </c>
      <c r="J52" s="20" t="n">
        <v>2</v>
      </c>
      <c r="K52" s="20" t="n">
        <v>2</v>
      </c>
      <c r="L52" s="20" t="n">
        <v>1</v>
      </c>
      <c r="M52" s="20" t="n">
        <v>3</v>
      </c>
      <c r="N52" s="20" t="n">
        <v>3</v>
      </c>
      <c r="O52" s="5">
        <f>IF((Finans!K52+Finans!L52)/2&lt;14,5,IF((Finans!K52+Finans!L52)/2&lt;28,4,IF((Finans!K52+Finans!L52)/2&lt;=56,3,IF((Finans!K52+Finans!L52)/2&lt;=90,2,1))))</f>
        <v>1</v>
      </c>
      <c r="P52" s="5">
        <f>IF(Finans!I52/Hedef!$C$7&lt;1,5,IF(Finans!I52/Hedef!$C$7&lt;3,4,IF(Finans!I52/Hedef!$C$7&lt;=5,3,IF(Finans!I52/Hedef!$C$7&lt;=8,2,1))))</f>
        <v>2</v>
      </c>
      <c r="Q52" s="20" t="n">
        <v>2</v>
      </c>
      <c r="R52" s="20" t="n">
        <v>2</v>
      </c>
      <c r="S52" s="20" t="n">
        <v>1</v>
      </c>
      <c r="T52" s="20" t="n">
        <v>3</v>
      </c>
      <c r="U52" s="5">
        <f>IF(Finans!AI52&lt;=0,0,IF(Finans!AI52&lt;=5,5,IF(Finans!AI52&lt;10,4,IF(Finans!AI52&lt;=30,3,IF(Finans!AI52&lt;100,2,1)))))</f>
        <v>5</v>
      </c>
      <c r="V52" s="20" t="n">
        <v>3</v>
      </c>
      <c r="W52" s="20" t="n">
        <v>3</v>
      </c>
      <c r="X52" s="20" t="n">
        <v>2</v>
      </c>
      <c r="Y52" s="20" t="n">
        <v>3</v>
      </c>
      <c r="Z52" s="20" t="n">
        <v>2</v>
      </c>
      <c r="AA52" s="20" t="n">
        <v>2</v>
      </c>
      <c r="AB52" s="20" t="n">
        <v>2</v>
      </c>
      <c r="AD52" s="20" t="n">
        <v>2</v>
      </c>
      <c r="AE52" s="20" t="n">
        <v>2</v>
      </c>
      <c r="AF52" s="20" t="n">
        <v>2</v>
      </c>
      <c r="AG52" s="20" t="n">
        <v>3</v>
      </c>
    </row>
    <row r="53">
      <c r="A53" s="7" t="str">
        <f>Secenekler!A53</f>
        <v>strateji-simulatoru-a</v>
      </c>
      <c r="B53" s="7" t="str">
        <f>Secenekler!C53</f>
        <v>Kuluçka ve BİGG uygulayıcıya white-label lisans</v>
      </c>
      <c r="C53" s="20" t="n">
        <v>3</v>
      </c>
      <c r="D53" s="20" t="n">
        <v>3</v>
      </c>
      <c r="E53" s="20" t="n">
        <v>2</v>
      </c>
      <c r="F53" s="20" t="n">
        <v>3</v>
      </c>
      <c r="G53" s="20" t="n">
        <v>2</v>
      </c>
      <c r="H53" s="20" t="n">
        <v>1</v>
      </c>
      <c r="I53" s="20" t="n">
        <v>2</v>
      </c>
      <c r="J53" s="20" t="n">
        <v>1</v>
      </c>
      <c r="K53" s="20" t="n">
        <v>3</v>
      </c>
      <c r="L53" s="20" t="n">
        <v>3</v>
      </c>
      <c r="M53" s="20" t="n">
        <v>4</v>
      </c>
      <c r="N53" s="20" t="n">
        <v>3</v>
      </c>
      <c r="O53" s="5">
        <f>IF((Finans!K53+Finans!L53)/2&lt;14,5,IF((Finans!K53+Finans!L53)/2&lt;28,4,IF((Finans!K53+Finans!L53)/2&lt;=56,3,IF((Finans!K53+Finans!L53)/2&lt;=90,2,1))))</f>
        <v>1</v>
      </c>
      <c r="P53" s="5">
        <f>IF(Finans!I53/Hedef!$C$7&lt;1,5,IF(Finans!I53/Hedef!$C$7&lt;3,4,IF(Finans!I53/Hedef!$C$7&lt;=5,3,IF(Finans!I53/Hedef!$C$7&lt;=8,2,1))))</f>
        <v>3</v>
      </c>
      <c r="Q53" s="20" t="n">
        <v>1</v>
      </c>
      <c r="R53" s="20" t="n">
        <v>3</v>
      </c>
      <c r="S53" s="20" t="n">
        <v>1</v>
      </c>
      <c r="T53" s="20" t="n">
        <v>4</v>
      </c>
      <c r="U53" s="5">
        <f>IF(Finans!AI53&lt;=0,0,IF(Finans!AI53&lt;=5,5,IF(Finans!AI53&lt;10,4,IF(Finans!AI53&lt;=30,3,IF(Finans!AI53&lt;100,2,1)))))</f>
        <v>4</v>
      </c>
      <c r="V53" s="20" t="n">
        <v>3</v>
      </c>
      <c r="W53" s="20" t="n">
        <v>2</v>
      </c>
      <c r="X53" s="20" t="n">
        <v>3</v>
      </c>
      <c r="Y53" s="20" t="n">
        <v>3</v>
      </c>
      <c r="Z53" s="20" t="n">
        <v>2</v>
      </c>
      <c r="AA53" s="20" t="n">
        <v>4</v>
      </c>
      <c r="AB53" s="20" t="n">
        <v>2</v>
      </c>
      <c r="AD53" s="20" t="n">
        <v>2</v>
      </c>
      <c r="AE53" s="20" t="n">
        <v>1</v>
      </c>
      <c r="AF53" s="20" t="n">
        <v>3</v>
      </c>
      <c r="AG53" s="20" t="n">
        <v>4</v>
      </c>
    </row>
    <row r="54">
      <c r="A54" s="7" t="str">
        <f>Secenekler!A54</f>
        <v>strateji-simulatoru-b</v>
      </c>
      <c r="B54" s="7" t="str">
        <f>Secenekler!C54</f>
        <v>Girişimci adayına ücretli yönetici raporu (PDF)</v>
      </c>
      <c r="C54" s="20" t="n">
        <v>3</v>
      </c>
      <c r="D54" s="20" t="n">
        <v>4</v>
      </c>
      <c r="E54" s="20" t="n">
        <v>3</v>
      </c>
      <c r="F54" s="20" t="n">
        <v>3</v>
      </c>
      <c r="G54" s="20" t="n">
        <v>5</v>
      </c>
      <c r="H54" s="20" t="n">
        <v>1</v>
      </c>
      <c r="I54" s="20" t="n">
        <v>2</v>
      </c>
      <c r="J54" s="20" t="n">
        <v>3</v>
      </c>
      <c r="K54" s="20" t="n">
        <v>3</v>
      </c>
      <c r="L54" s="20" t="n">
        <v>3</v>
      </c>
      <c r="M54" s="20" t="n">
        <v>3</v>
      </c>
      <c r="N54" s="20" t="n">
        <v>3</v>
      </c>
      <c r="O54" s="5">
        <f>IF((Finans!K54+Finans!L54)/2&lt;14,5,IF((Finans!K54+Finans!L54)/2&lt;28,4,IF((Finans!K54+Finans!L54)/2&lt;=56,3,IF((Finans!K54+Finans!L54)/2&lt;=90,2,1))))</f>
        <v>2</v>
      </c>
      <c r="P54" s="5">
        <f>IF(Finans!I54/Hedef!$C$7&lt;1,5,IF(Finans!I54/Hedef!$C$7&lt;3,4,IF(Finans!I54/Hedef!$C$7&lt;=5,3,IF(Finans!I54/Hedef!$C$7&lt;=8,2,1))))</f>
        <v>3</v>
      </c>
      <c r="Q54" s="20" t="n">
        <v>5</v>
      </c>
      <c r="R54" s="20" t="n">
        <v>5</v>
      </c>
      <c r="S54" s="20" t="n">
        <v>4</v>
      </c>
      <c r="T54" s="20" t="n">
        <v>4</v>
      </c>
      <c r="U54" s="5">
        <f>IF(Finans!AI54&lt;=0,0,IF(Finans!AI54&lt;=5,5,IF(Finans!AI54&lt;10,4,IF(Finans!AI54&lt;=30,3,IF(Finans!AI54&lt;100,2,1)))))</f>
        <v>1</v>
      </c>
      <c r="V54" s="20" t="n">
        <v>2</v>
      </c>
      <c r="W54" s="20" t="n">
        <v>3</v>
      </c>
      <c r="X54" s="20" t="n">
        <v>3</v>
      </c>
      <c r="Y54" s="20" t="n">
        <v>2</v>
      </c>
      <c r="Z54" s="20" t="n">
        <v>4</v>
      </c>
      <c r="AA54" s="20" t="n">
        <v>4</v>
      </c>
      <c r="AB54" s="20" t="n">
        <v>5</v>
      </c>
      <c r="AD54" s="20" t="n">
        <v>2</v>
      </c>
      <c r="AE54" s="20" t="n">
        <v>1</v>
      </c>
      <c r="AF54" s="20" t="n">
        <v>5</v>
      </c>
      <c r="AG54" s="20" t="n">
        <v>3</v>
      </c>
    </row>
    <row r="55">
      <c r="A55" s="7" t="str">
        <f>Secenekler!A55</f>
        <v>strateji-simulatoru-c</v>
      </c>
      <c r="B55" s="7" t="str">
        <f>Secenekler!C55</f>
        <v>Mevcut müşterilere değerlendirme raporu ve yorum görüşmesi</v>
      </c>
      <c r="C55" s="20" t="n">
        <v>3</v>
      </c>
      <c r="D55" s="20" t="n">
        <v>3</v>
      </c>
      <c r="E55" s="20" t="n">
        <v>2</v>
      </c>
      <c r="F55" s="20" t="n">
        <v>3</v>
      </c>
      <c r="G55" s="20" t="n">
        <v>4</v>
      </c>
      <c r="H55" s="20" t="n">
        <v>1</v>
      </c>
      <c r="I55" s="20" t="n">
        <v>3</v>
      </c>
      <c r="J55" s="20" t="n">
        <v>1</v>
      </c>
      <c r="K55" s="20" t="n">
        <v>3</v>
      </c>
      <c r="L55" s="20" t="n">
        <v>2</v>
      </c>
      <c r="M55" s="20" t="n">
        <v>3</v>
      </c>
      <c r="N55" s="20" t="n">
        <v>2</v>
      </c>
      <c r="O55" s="5">
        <f>IF((Finans!K55+Finans!L55)/2&lt;14,5,IF((Finans!K55+Finans!L55)/2&lt;28,4,IF((Finans!K55+Finans!L55)/2&lt;=56,3,IF((Finans!K55+Finans!L55)/2&lt;=90,2,1))))</f>
        <v>4</v>
      </c>
      <c r="P55" s="5">
        <f>IF(Finans!I55/Hedef!$C$7&lt;1,5,IF(Finans!I55/Hedef!$C$7&lt;3,4,IF(Finans!I55/Hedef!$C$7&lt;=5,3,IF(Finans!I55/Hedef!$C$7&lt;=8,2,1))))</f>
        <v>4</v>
      </c>
      <c r="Q55" s="20" t="n">
        <v>4</v>
      </c>
      <c r="R55" s="20" t="n">
        <v>4</v>
      </c>
      <c r="S55" s="20" t="n">
        <v>2</v>
      </c>
      <c r="T55" s="20" t="n">
        <v>3</v>
      </c>
      <c r="U55" s="5">
        <f>IF(Finans!AI55&lt;=0,0,IF(Finans!AI55&lt;=5,5,IF(Finans!AI55&lt;10,4,IF(Finans!AI55&lt;=30,3,IF(Finans!AI55&lt;100,2,1)))))</f>
        <v>2</v>
      </c>
      <c r="V55" s="20" t="n">
        <v>2</v>
      </c>
      <c r="W55" s="20" t="n">
        <v>2</v>
      </c>
      <c r="X55" s="20" t="n">
        <v>4</v>
      </c>
      <c r="Y55" s="20" t="n">
        <v>3</v>
      </c>
      <c r="Z55" s="20" t="n">
        <v>3</v>
      </c>
      <c r="AA55" s="20" t="n">
        <v>3</v>
      </c>
      <c r="AB55" s="20" t="n">
        <v>4</v>
      </c>
      <c r="AD55" s="20" t="n">
        <v>2</v>
      </c>
      <c r="AE55" s="20" t="n">
        <v>1</v>
      </c>
      <c r="AF55" s="20" t="n">
        <v>1</v>
      </c>
      <c r="AG55" s="20" t="n">
        <v>4</v>
      </c>
    </row>
    <row r="56">
      <c r="A56" s="7" t="str">
        <f>Secenekler!A56</f>
        <v>ajan-kaynak-koruyucu-a</v>
      </c>
      <c r="B56" s="7" t="str">
        <f>Secenekler!C56</f>
        <v>Pro menü çubuğu uygulaması ve rehber paketi (bireysel geliştirici)</v>
      </c>
      <c r="C56" s="20" t="n">
        <v>2</v>
      </c>
      <c r="D56" s="20" t="n">
        <v>2</v>
      </c>
      <c r="E56" s="20" t="n">
        <v>3</v>
      </c>
      <c r="F56" s="20" t="n">
        <v>3</v>
      </c>
      <c r="G56" s="20" t="n">
        <v>5</v>
      </c>
      <c r="H56" s="20" t="n">
        <v>1</v>
      </c>
      <c r="I56" s="20" t="n">
        <v>2</v>
      </c>
      <c r="J56" s="20" t="n">
        <v>3</v>
      </c>
      <c r="K56" s="20" t="n">
        <v>3</v>
      </c>
      <c r="L56" s="20" t="n">
        <v>2</v>
      </c>
      <c r="M56" s="20" t="n">
        <v>3</v>
      </c>
      <c r="N56" s="20" t="n">
        <v>3</v>
      </c>
      <c r="O56" s="5">
        <f>IF((Finans!K56+Finans!L56)/2&lt;14,5,IF((Finans!K56+Finans!L56)/2&lt;28,4,IF((Finans!K56+Finans!L56)/2&lt;=56,3,IF((Finans!K56+Finans!L56)/2&lt;=90,2,1))))</f>
        <v>2</v>
      </c>
      <c r="P56" s="5">
        <f>IF(Finans!I56/Hedef!$C$7&lt;1,5,IF(Finans!I56/Hedef!$C$7&lt;3,4,IF(Finans!I56/Hedef!$C$7&lt;=5,3,IF(Finans!I56/Hedef!$C$7&lt;=8,2,1))))</f>
        <v>2</v>
      </c>
      <c r="Q56" s="20" t="n">
        <v>5</v>
      </c>
      <c r="R56" s="20" t="n">
        <v>4</v>
      </c>
      <c r="S56" s="20" t="n">
        <v>4</v>
      </c>
      <c r="T56" s="20" t="n">
        <v>3</v>
      </c>
      <c r="U56" s="5">
        <f>IF(Finans!AI56&lt;=0,0,IF(Finans!AI56&lt;=5,5,IF(Finans!AI56&lt;10,4,IF(Finans!AI56&lt;=30,3,IF(Finans!AI56&lt;100,2,1)))))</f>
        <v>1</v>
      </c>
      <c r="V56" s="20" t="n">
        <v>2</v>
      </c>
      <c r="W56" s="20" t="n">
        <v>2</v>
      </c>
      <c r="X56" s="20" t="n">
        <v>3</v>
      </c>
      <c r="Y56" s="20" t="n">
        <v>2</v>
      </c>
      <c r="Z56" s="20" t="n">
        <v>4</v>
      </c>
      <c r="AA56" s="20" t="n">
        <v>2</v>
      </c>
      <c r="AB56" s="20" t="n">
        <v>5</v>
      </c>
      <c r="AD56" s="20" t="n">
        <v>3</v>
      </c>
      <c r="AE56" s="20" t="n">
        <v>1</v>
      </c>
      <c r="AF56" s="20" t="n">
        <v>5</v>
      </c>
      <c r="AG56" s="20" t="n">
        <v>4</v>
      </c>
    </row>
    <row r="57">
      <c r="A57" s="7" t="str">
        <f>Secenekler!A57</f>
        <v>ajan-kaynak-koruyucu-b</v>
      </c>
      <c r="B57" s="7" t="str">
        <f>Secenekler!C57</f>
        <v>Rapor-yalnız paket ve destekli kurulum/uyumluluk hizmeti</v>
      </c>
      <c r="C57" s="20" t="n">
        <v>2</v>
      </c>
      <c r="D57" s="20" t="n">
        <v>2</v>
      </c>
      <c r="E57" s="20" t="n">
        <v>2</v>
      </c>
      <c r="F57" s="20" t="n">
        <v>3</v>
      </c>
      <c r="G57" s="20" t="n">
        <v>3</v>
      </c>
      <c r="H57" s="20" t="n">
        <v>1</v>
      </c>
      <c r="I57" s="20" t="n">
        <v>2</v>
      </c>
      <c r="J57" s="20" t="n">
        <v>2</v>
      </c>
      <c r="K57" s="20" t="n">
        <v>2</v>
      </c>
      <c r="L57" s="20" t="n">
        <v>2</v>
      </c>
      <c r="M57" s="20" t="n">
        <v>2</v>
      </c>
      <c r="N57" s="20" t="n">
        <v>2</v>
      </c>
      <c r="O57" s="5">
        <f>IF((Finans!K57+Finans!L57)/2&lt;14,5,IF((Finans!K57+Finans!L57)/2&lt;28,4,IF((Finans!K57+Finans!L57)/2&lt;=56,3,IF((Finans!K57+Finans!L57)/2&lt;=90,2,1))))</f>
        <v>3</v>
      </c>
      <c r="P57" s="5">
        <f>IF(Finans!I57/Hedef!$C$7&lt;1,5,IF(Finans!I57/Hedef!$C$7&lt;3,4,IF(Finans!I57/Hedef!$C$7&lt;=5,3,IF(Finans!I57/Hedef!$C$7&lt;=8,2,1))))</f>
        <v>4</v>
      </c>
      <c r="Q57" s="20" t="n">
        <v>4</v>
      </c>
      <c r="R57" s="20" t="n">
        <v>4</v>
      </c>
      <c r="S57" s="20" t="n">
        <v>2</v>
      </c>
      <c r="T57" s="20" t="n">
        <v>3</v>
      </c>
      <c r="U57" s="5">
        <f>IF(Finans!AI57&lt;=0,0,IF(Finans!AI57&lt;=5,5,IF(Finans!AI57&lt;10,4,IF(Finans!AI57&lt;=30,3,IF(Finans!AI57&lt;100,2,1)))))</f>
        <v>2</v>
      </c>
      <c r="V57" s="20" t="n">
        <v>2</v>
      </c>
      <c r="W57" s="20" t="n">
        <v>3</v>
      </c>
      <c r="X57" s="20" t="n">
        <v>3</v>
      </c>
      <c r="Y57" s="20" t="n">
        <v>2</v>
      </c>
      <c r="Z57" s="20" t="n">
        <v>3</v>
      </c>
      <c r="AA57" s="20" t="n">
        <v>3</v>
      </c>
      <c r="AB57" s="20" t="n">
        <v>4</v>
      </c>
      <c r="AD57" s="20" t="n">
        <v>2</v>
      </c>
      <c r="AE57" s="20" t="n">
        <v>1</v>
      </c>
      <c r="AF57" s="20" t="n">
        <v>1</v>
      </c>
      <c r="AG57" s="20" t="n">
        <v>3</v>
      </c>
    </row>
    <row r="58">
      <c r="A58" s="7" t="str">
        <f>Secenekler!A58</f>
        <v>ajan-kaynak-koruyucu-c</v>
      </c>
      <c r="B58" s="7" t="str">
        <f>Secenekler!C58</f>
        <v>Orkestratör ortaklığı ve kurumsal sponsorluk (kabul API'si)</v>
      </c>
      <c r="C58" s="20" t="n">
        <v>2</v>
      </c>
      <c r="D58" s="20" t="n">
        <v>1</v>
      </c>
      <c r="E58" s="20" t="n">
        <v>2</v>
      </c>
      <c r="F58" s="20" t="n">
        <v>1</v>
      </c>
      <c r="G58" s="20" t="n">
        <v>3</v>
      </c>
      <c r="H58" s="20" t="n">
        <v>2</v>
      </c>
      <c r="I58" s="20" t="n">
        <v>2</v>
      </c>
      <c r="J58" s="20" t="n">
        <v>1</v>
      </c>
      <c r="K58" s="20" t="n">
        <v>2</v>
      </c>
      <c r="L58" s="20" t="n">
        <v>4</v>
      </c>
      <c r="M58" s="20" t="n">
        <v>3</v>
      </c>
      <c r="N58" s="20" t="n">
        <v>2</v>
      </c>
      <c r="O58" s="5">
        <f>IF((Finans!K58+Finans!L58)/2&lt;14,5,IF((Finans!K58+Finans!L58)/2&lt;28,4,IF((Finans!K58+Finans!L58)/2&lt;=56,3,IF((Finans!K58+Finans!L58)/2&lt;=90,2,1))))</f>
        <v>3</v>
      </c>
      <c r="P58" s="5">
        <f>IF(Finans!I58/Hedef!$C$7&lt;1,5,IF(Finans!I58/Hedef!$C$7&lt;3,4,IF(Finans!I58/Hedef!$C$7&lt;=5,3,IF(Finans!I58/Hedef!$C$7&lt;=8,2,1))))</f>
        <v>4</v>
      </c>
      <c r="Q58" s="20" t="n">
        <v>2</v>
      </c>
      <c r="R58" s="20" t="n">
        <v>4</v>
      </c>
      <c r="S58" s="20" t="n">
        <v>3</v>
      </c>
      <c r="T58" s="20" t="n">
        <v>3</v>
      </c>
      <c r="U58" s="5">
        <f>IF(Finans!AI58&lt;=0,0,IF(Finans!AI58&lt;=5,5,IF(Finans!AI58&lt;10,4,IF(Finans!AI58&lt;=30,3,IF(Finans!AI58&lt;100,2,1)))))</f>
        <v>1</v>
      </c>
      <c r="V58" s="20" t="n">
        <v>3</v>
      </c>
      <c r="W58" s="20" t="n">
        <v>3</v>
      </c>
      <c r="X58" s="20" t="n">
        <v>3</v>
      </c>
      <c r="Y58" s="20" t="n">
        <v>2</v>
      </c>
      <c r="Z58" s="20" t="n">
        <v>3</v>
      </c>
      <c r="AA58" s="20" t="n">
        <v>4</v>
      </c>
      <c r="AB58" s="20" t="n">
        <v>3</v>
      </c>
      <c r="AD58" s="20" t="n">
        <v>1</v>
      </c>
      <c r="AE58" s="20" t="n">
        <v>2</v>
      </c>
      <c r="AF58" s="20" t="n">
        <v>3</v>
      </c>
      <c r="AG58" s="20" t="n">
        <v>3</v>
      </c>
    </row>
    <row r="59">
      <c r="A59" s="7" t="str">
        <f>Secenekler!A59</f>
        <v>actionplan-a</v>
      </c>
      <c r="B59" s="7" t="str">
        <f>Secenekler!C59</f>
        <v>Ajan görev paketi: açık çekirdek ve Pro şablonlar</v>
      </c>
      <c r="C59" s="20" t="n">
        <v>3</v>
      </c>
      <c r="D59" s="20" t="n">
        <v>2</v>
      </c>
      <c r="E59" s="20" t="n">
        <v>4</v>
      </c>
      <c r="F59" s="20" t="n">
        <v>3</v>
      </c>
      <c r="G59" s="20" t="n">
        <v>5</v>
      </c>
      <c r="H59" s="20" t="n">
        <v>1</v>
      </c>
      <c r="I59" s="20" t="n">
        <v>2</v>
      </c>
      <c r="J59" s="20" t="n">
        <v>3</v>
      </c>
      <c r="K59" s="20" t="n">
        <v>3</v>
      </c>
      <c r="L59" s="20" t="n">
        <v>2</v>
      </c>
      <c r="M59" s="20" t="n">
        <v>2</v>
      </c>
      <c r="N59" s="20" t="n">
        <v>3</v>
      </c>
      <c r="O59" s="5">
        <f>IF((Finans!K59+Finans!L59)/2&lt;14,5,IF((Finans!K59+Finans!L59)/2&lt;28,4,IF((Finans!K59+Finans!L59)/2&lt;=56,3,IF((Finans!K59+Finans!L59)/2&lt;=90,2,1))))</f>
        <v>2</v>
      </c>
      <c r="P59" s="5">
        <f>IF(Finans!I59/Hedef!$C$7&lt;1,5,IF(Finans!I59/Hedef!$C$7&lt;3,4,IF(Finans!I59/Hedef!$C$7&lt;=5,3,IF(Finans!I59/Hedef!$C$7&lt;=8,2,1))))</f>
        <v>2</v>
      </c>
      <c r="Q59" s="20" t="n">
        <v>5</v>
      </c>
      <c r="R59" s="20" t="n">
        <v>5</v>
      </c>
      <c r="S59" s="20" t="n">
        <v>4</v>
      </c>
      <c r="T59" s="20" t="n">
        <v>4</v>
      </c>
      <c r="U59" s="5">
        <f>IF(Finans!AI59&lt;=0,0,IF(Finans!AI59&lt;=5,5,IF(Finans!AI59&lt;10,4,IF(Finans!AI59&lt;=30,3,IF(Finans!AI59&lt;100,2,1)))))</f>
        <v>2</v>
      </c>
      <c r="V59" s="20" t="n">
        <v>2</v>
      </c>
      <c r="W59" s="20" t="n">
        <v>3</v>
      </c>
      <c r="X59" s="20" t="n">
        <v>3</v>
      </c>
      <c r="Y59" s="20" t="n">
        <v>1</v>
      </c>
      <c r="Z59" s="20" t="n">
        <v>4</v>
      </c>
      <c r="AA59" s="20" t="n">
        <v>4</v>
      </c>
      <c r="AB59" s="20" t="n">
        <v>5</v>
      </c>
      <c r="AD59" s="20" t="n">
        <v>3</v>
      </c>
      <c r="AE59" s="20" t="n">
        <v>1</v>
      </c>
      <c r="AF59" s="20" t="n">
        <v>4</v>
      </c>
      <c r="AG59" s="20" t="n">
        <v>3</v>
      </c>
    </row>
    <row r="60">
      <c r="A60" s="7" t="str">
        <f>Secenekler!A60</f>
        <v>actionplan-b</v>
      </c>
      <c r="B60" s="7" t="str">
        <f>Secenekler!C60</f>
        <v>Teslim kabul kurulumu: sürümlü kapsam ve kanıt paketi</v>
      </c>
      <c r="C60" s="20" t="n">
        <v>3</v>
      </c>
      <c r="D60" s="20" t="n">
        <v>3</v>
      </c>
      <c r="E60" s="20" t="n">
        <v>2</v>
      </c>
      <c r="F60" s="20" t="n">
        <v>3</v>
      </c>
      <c r="G60" s="20" t="n">
        <v>3</v>
      </c>
      <c r="H60" s="20" t="n">
        <v>1</v>
      </c>
      <c r="I60" s="20" t="n">
        <v>1</v>
      </c>
      <c r="J60" s="20" t="n">
        <v>2</v>
      </c>
      <c r="K60" s="20" t="n">
        <v>2</v>
      </c>
      <c r="L60" s="20" t="n">
        <v>3</v>
      </c>
      <c r="M60" s="20" t="n">
        <v>2</v>
      </c>
      <c r="N60" s="20" t="n">
        <v>2</v>
      </c>
      <c r="O60" s="5">
        <f>IF((Finans!K60+Finans!L60)/2&lt;14,5,IF((Finans!K60+Finans!L60)/2&lt;28,4,IF((Finans!K60+Finans!L60)/2&lt;=56,3,IF((Finans!K60+Finans!L60)/2&lt;=90,2,1))))</f>
        <v>2</v>
      </c>
      <c r="P60" s="5">
        <f>IF(Finans!I60/Hedef!$C$7&lt;1,5,IF(Finans!I60/Hedef!$C$7&lt;3,4,IF(Finans!I60/Hedef!$C$7&lt;=5,3,IF(Finans!I60/Hedef!$C$7&lt;=8,2,1))))</f>
        <v>4</v>
      </c>
      <c r="Q60" s="20" t="n">
        <v>3</v>
      </c>
      <c r="R60" s="20" t="n">
        <v>3</v>
      </c>
      <c r="S60" s="20" t="n">
        <v>2</v>
      </c>
      <c r="T60" s="20" t="n">
        <v>2</v>
      </c>
      <c r="U60" s="5">
        <f>IF(Finans!AI60&lt;=0,0,IF(Finans!AI60&lt;=5,5,IF(Finans!AI60&lt;10,4,IF(Finans!AI60&lt;=30,3,IF(Finans!AI60&lt;100,2,1)))))</f>
        <v>4</v>
      </c>
      <c r="V60" s="20" t="n">
        <v>3</v>
      </c>
      <c r="W60" s="20" t="n">
        <v>3</v>
      </c>
      <c r="X60" s="20" t="n">
        <v>2</v>
      </c>
      <c r="Y60" s="20" t="n">
        <v>2</v>
      </c>
      <c r="Z60" s="20" t="n">
        <v>2</v>
      </c>
      <c r="AA60" s="20" t="n">
        <v>3</v>
      </c>
      <c r="AB60" s="20" t="n">
        <v>3</v>
      </c>
      <c r="AD60" s="20" t="n"/>
      <c r="AE60" s="20" t="n">
        <v>2</v>
      </c>
      <c r="AF60" s="20" t="n">
        <v>2</v>
      </c>
      <c r="AG60" s="20" t="n">
        <v>3</v>
      </c>
    </row>
    <row r="61">
      <c r="A61" s="7" t="str">
        <f>Secenekler!A61</f>
        <v>actionplan-c</v>
      </c>
      <c r="B61" s="7" t="str">
        <f>Secenekler!C61</f>
        <v>Türkçe ajan görev şablon paketi</v>
      </c>
      <c r="C61" s="20" t="n">
        <v>2</v>
      </c>
      <c r="D61" s="20" t="n">
        <v>2</v>
      </c>
      <c r="E61" s="20" t="n">
        <v>2</v>
      </c>
      <c r="F61" s="20" t="n">
        <v>2</v>
      </c>
      <c r="G61" s="20" t="n">
        <v>5</v>
      </c>
      <c r="H61" s="20" t="n">
        <v>1</v>
      </c>
      <c r="I61" s="20" t="n">
        <v>2</v>
      </c>
      <c r="J61" s="20" t="n">
        <v>2</v>
      </c>
      <c r="K61" s="20" t="n">
        <v>3</v>
      </c>
      <c r="L61" s="20" t="n">
        <v>1</v>
      </c>
      <c r="M61" s="20" t="n">
        <v>2</v>
      </c>
      <c r="N61" s="20" t="n">
        <v>2</v>
      </c>
      <c r="O61" s="5">
        <f>IF((Finans!K61+Finans!L61)/2&lt;14,5,IF((Finans!K61+Finans!L61)/2&lt;28,4,IF((Finans!K61+Finans!L61)/2&lt;=56,3,IF((Finans!K61+Finans!L61)/2&lt;=90,2,1))))</f>
        <v>3</v>
      </c>
      <c r="P61" s="5">
        <f>IF(Finans!I61/Hedef!$C$7&lt;1,5,IF(Finans!I61/Hedef!$C$7&lt;3,4,IF(Finans!I61/Hedef!$C$7&lt;=5,3,IF(Finans!I61/Hedef!$C$7&lt;=8,2,1))))</f>
        <v>4</v>
      </c>
      <c r="Q61" s="20" t="n">
        <v>5</v>
      </c>
      <c r="R61" s="20" t="n">
        <v>4</v>
      </c>
      <c r="S61" s="20" t="n">
        <v>4</v>
      </c>
      <c r="T61" s="20" t="n">
        <v>5</v>
      </c>
      <c r="U61" s="5">
        <f>IF(Finans!AI61&lt;=0,0,IF(Finans!AI61&lt;=5,5,IF(Finans!AI61&lt;10,4,IF(Finans!AI61&lt;=30,3,IF(Finans!AI61&lt;100,2,1)))))</f>
        <v>1</v>
      </c>
      <c r="V61" s="20" t="n">
        <v>1</v>
      </c>
      <c r="W61" s="20" t="n">
        <v>2</v>
      </c>
      <c r="X61" s="20" t="n">
        <v>3</v>
      </c>
      <c r="Y61" s="20" t="n">
        <v>1</v>
      </c>
      <c r="Z61" s="20" t="n">
        <v>5</v>
      </c>
      <c r="AA61" s="20" t="n">
        <v>5</v>
      </c>
      <c r="AB61" s="20" t="n">
        <v>5</v>
      </c>
      <c r="AD61" s="20" t="n">
        <v>2</v>
      </c>
      <c r="AE61" s="20" t="n">
        <v>1</v>
      </c>
      <c r="AF61" s="20" t="n">
        <v>4</v>
      </c>
      <c r="AG61" s="20" t="n">
        <v>2</v>
      </c>
    </row>
    <row r="62">
      <c r="A62" s="7" t="str">
        <f>Secenekler!A62</f>
        <v>ajan-gozlem-paneli-a</v>
      </c>
      <c r="B62" s="7" t="str">
        <f>Secenekler!C62</f>
        <v>Koruyucu Pro içinde Gözlem Paneli (tek seferlik lisans)</v>
      </c>
      <c r="C62" s="20" t="n">
        <v>2</v>
      </c>
      <c r="D62" s="20" t="n">
        <v>2</v>
      </c>
      <c r="E62" s="20" t="n">
        <v>4</v>
      </c>
      <c r="F62" s="20" t="n">
        <v>3</v>
      </c>
      <c r="G62" s="20" t="n">
        <v>5</v>
      </c>
      <c r="H62" s="20" t="n">
        <v>1</v>
      </c>
      <c r="I62" s="20" t="n">
        <v>2</v>
      </c>
      <c r="J62" s="20" t="n">
        <v>3</v>
      </c>
      <c r="K62" s="20" t="n">
        <v>3</v>
      </c>
      <c r="L62" s="20" t="n">
        <v>3</v>
      </c>
      <c r="M62" s="20" t="n">
        <v>3</v>
      </c>
      <c r="N62" s="20" t="n">
        <v>3</v>
      </c>
      <c r="O62" s="5">
        <f>IF((Finans!K62+Finans!L62)/2&lt;14,5,IF((Finans!K62+Finans!L62)/2&lt;28,4,IF((Finans!K62+Finans!L62)/2&lt;=56,3,IF((Finans!K62+Finans!L62)/2&lt;=90,2,1))))</f>
        <v>2</v>
      </c>
      <c r="P62" s="5">
        <f>IF(Finans!I62/Hedef!$C$7&lt;1,5,IF(Finans!I62/Hedef!$C$7&lt;3,4,IF(Finans!I62/Hedef!$C$7&lt;=5,3,IF(Finans!I62/Hedef!$C$7&lt;=8,2,1))))</f>
        <v>3</v>
      </c>
      <c r="Q62" s="20" t="n">
        <v>5</v>
      </c>
      <c r="R62" s="20" t="n">
        <v>4</v>
      </c>
      <c r="S62" s="20" t="n">
        <v>4</v>
      </c>
      <c r="T62" s="20" t="n">
        <v>3</v>
      </c>
      <c r="U62" s="5">
        <f>IF(Finans!AI62&lt;=0,0,IF(Finans!AI62&lt;=5,5,IF(Finans!AI62&lt;10,4,IF(Finans!AI62&lt;=30,3,IF(Finans!AI62&lt;100,2,1)))))</f>
        <v>1</v>
      </c>
      <c r="V62" s="20" t="n">
        <v>2</v>
      </c>
      <c r="W62" s="20" t="n">
        <v>2</v>
      </c>
      <c r="X62" s="20" t="n">
        <v>3</v>
      </c>
      <c r="Y62" s="20" t="n">
        <v>2</v>
      </c>
      <c r="Z62" s="20" t="n">
        <v>4</v>
      </c>
      <c r="AA62" s="20" t="n">
        <v>4</v>
      </c>
      <c r="AB62" s="20" t="n">
        <v>5</v>
      </c>
      <c r="AD62" s="20" t="n">
        <v>2</v>
      </c>
      <c r="AE62" s="20" t="n">
        <v>1</v>
      </c>
      <c r="AF62" s="20" t="n">
        <v>5</v>
      </c>
      <c r="AG62" s="20" t="n">
        <v>4</v>
      </c>
    </row>
    <row r="63">
      <c r="A63" s="7" t="str">
        <f>Secenekler!A63</f>
        <v>ajan-gozlem-paneli-b</v>
      </c>
      <c r="B63" s="7" t="str">
        <f>Secenekler!C63</f>
        <v>Ajanslar için aylık proje bazlı yapay zekâ maliyet raporu</v>
      </c>
      <c r="C63" s="20" t="n">
        <v>2</v>
      </c>
      <c r="D63" s="20" t="n">
        <v>3</v>
      </c>
      <c r="E63" s="20" t="n">
        <v>2</v>
      </c>
      <c r="F63" s="20" t="n">
        <v>3</v>
      </c>
      <c r="G63" s="20" t="n">
        <v>4</v>
      </c>
      <c r="H63" s="20" t="n">
        <v>1</v>
      </c>
      <c r="I63" s="20" t="n">
        <v>1</v>
      </c>
      <c r="J63" s="20" t="n">
        <v>1</v>
      </c>
      <c r="K63" s="20" t="n">
        <v>2</v>
      </c>
      <c r="L63" s="20" t="n">
        <v>2</v>
      </c>
      <c r="M63" s="20" t="n">
        <v>3</v>
      </c>
      <c r="N63" s="20" t="n">
        <v>3</v>
      </c>
      <c r="O63" s="5">
        <f>IF((Finans!K63+Finans!L63)/2&lt;14,5,IF((Finans!K63+Finans!L63)/2&lt;28,4,IF((Finans!K63+Finans!L63)/2&lt;=56,3,IF((Finans!K63+Finans!L63)/2&lt;=90,2,1))))</f>
        <v>1</v>
      </c>
      <c r="P63" s="5">
        <f>IF(Finans!I63/Hedef!$C$7&lt;1,5,IF(Finans!I63/Hedef!$C$7&lt;3,4,IF(Finans!I63/Hedef!$C$7&lt;=5,3,IF(Finans!I63/Hedef!$C$7&lt;=8,2,1))))</f>
        <v>4</v>
      </c>
      <c r="Q63" s="20" t="n">
        <v>3</v>
      </c>
      <c r="R63" s="20" t="n">
        <v>3</v>
      </c>
      <c r="S63" s="20" t="n">
        <v>2</v>
      </c>
      <c r="T63" s="20" t="n">
        <v>3</v>
      </c>
      <c r="U63" s="5">
        <f>IF(Finans!AI63&lt;=0,0,IF(Finans!AI63&lt;=5,5,IF(Finans!AI63&lt;10,4,IF(Finans!AI63&lt;=30,3,IF(Finans!AI63&lt;100,2,1)))))</f>
        <v>2</v>
      </c>
      <c r="V63" s="20" t="n">
        <v>5</v>
      </c>
      <c r="W63" s="20" t="n">
        <v>3</v>
      </c>
      <c r="X63" s="20" t="n">
        <v>2</v>
      </c>
      <c r="Y63" s="20" t="n">
        <v>2</v>
      </c>
      <c r="Z63" s="20" t="n">
        <v>2</v>
      </c>
      <c r="AA63" s="20" t="n">
        <v>3</v>
      </c>
      <c r="AB63" s="20" t="n">
        <v>3</v>
      </c>
      <c r="AD63" s="20" t="n">
        <v>2</v>
      </c>
      <c r="AE63" s="20" t="n">
        <v>1</v>
      </c>
      <c r="AF63" s="20" t="n">
        <v>2</v>
      </c>
      <c r="AG63" s="20" t="n">
        <v>3</v>
      </c>
    </row>
    <row r="64">
      <c r="A64" s="7" t="str">
        <f>Secenekler!A64</f>
        <v>ajan-gozlem-paneli-c</v>
      </c>
      <c r="B64" s="7" t="str">
        <f>Secenekler!C64</f>
        <v>Yapay zekâ iş izleme kartı kurulum paketi</v>
      </c>
      <c r="C64" s="20" t="n">
        <v>2</v>
      </c>
      <c r="D64" s="20" t="n">
        <v>2</v>
      </c>
      <c r="E64" s="20" t="n">
        <v>1</v>
      </c>
      <c r="F64" s="20" t="n">
        <v>2</v>
      </c>
      <c r="G64" s="20" t="n">
        <v>2</v>
      </c>
      <c r="H64" s="20" t="n">
        <v>1</v>
      </c>
      <c r="I64" s="20" t="n">
        <v>1</v>
      </c>
      <c r="J64" s="20" t="n">
        <v>1</v>
      </c>
      <c r="K64" s="20" t="n">
        <v>1</v>
      </c>
      <c r="L64" s="20" t="n">
        <v>2</v>
      </c>
      <c r="M64" s="20" t="n">
        <v>1</v>
      </c>
      <c r="N64" s="20" t="n">
        <v>2</v>
      </c>
      <c r="O64" s="5">
        <f>IF((Finans!K64+Finans!L64)/2&lt;14,5,IF((Finans!K64+Finans!L64)/2&lt;28,4,IF((Finans!K64+Finans!L64)/2&lt;=56,3,IF((Finans!K64+Finans!L64)/2&lt;=90,2,1))))</f>
        <v>1</v>
      </c>
      <c r="P64" s="5">
        <f>IF(Finans!I64/Hedef!$C$7&lt;1,5,IF(Finans!I64/Hedef!$C$7&lt;3,4,IF(Finans!I64/Hedef!$C$7&lt;=5,3,IF(Finans!I64/Hedef!$C$7&lt;=8,2,1))))</f>
        <v>4</v>
      </c>
      <c r="Q64" s="20" t="n">
        <v>2</v>
      </c>
      <c r="R64" s="20" t="n">
        <v>3</v>
      </c>
      <c r="S64" s="20" t="n">
        <v>1</v>
      </c>
      <c r="T64" s="20" t="n">
        <v>2</v>
      </c>
      <c r="U64" s="5">
        <f>IF(Finans!AI64&lt;=0,0,IF(Finans!AI64&lt;=5,5,IF(Finans!AI64&lt;10,4,IF(Finans!AI64&lt;=30,3,IF(Finans!AI64&lt;100,2,1)))))</f>
        <v>4</v>
      </c>
      <c r="V64" s="20" t="n">
        <v>1</v>
      </c>
      <c r="W64" s="20" t="n">
        <v>2</v>
      </c>
      <c r="X64" s="20" t="n">
        <v>2</v>
      </c>
      <c r="Y64" s="20" t="n">
        <v>1</v>
      </c>
      <c r="Z64" s="20" t="n">
        <v>2</v>
      </c>
      <c r="AA64" s="20" t="n">
        <v>4</v>
      </c>
      <c r="AB64" s="20" t="n">
        <v>2</v>
      </c>
      <c r="AD64" s="20" t="n"/>
      <c r="AE64" s="20" t="n">
        <v>1</v>
      </c>
      <c r="AF64" s="20" t="n">
        <v>1</v>
      </c>
      <c r="AG64" s="20" t="n">
        <v>2</v>
      </c>
    </row>
    <row r="65">
      <c r="A65" s="7" t="str">
        <f>Secenekler!A65</f>
        <v>ai-first-tasarim-a</v>
      </c>
      <c r="B65" s="7" t="str">
        <f>Secenekler!C65</f>
        <v>Türkçe yapay zekâ öncelikli tasarım sistemi rehberi (e-kitap)</v>
      </c>
      <c r="C65" s="20" t="n">
        <v>2</v>
      </c>
      <c r="D65" s="20" t="n">
        <v>2</v>
      </c>
      <c r="E65" s="20" t="n">
        <v>3</v>
      </c>
      <c r="F65" s="20" t="n">
        <v>3</v>
      </c>
      <c r="G65" s="20" t="n">
        <v>5</v>
      </c>
      <c r="H65" s="20" t="n">
        <v>2</v>
      </c>
      <c r="I65" s="20" t="n">
        <v>2</v>
      </c>
      <c r="J65" s="20" t="n">
        <v>2</v>
      </c>
      <c r="K65" s="20" t="n">
        <v>3</v>
      </c>
      <c r="L65" s="20" t="n">
        <v>2</v>
      </c>
      <c r="M65" s="20" t="n">
        <v>3</v>
      </c>
      <c r="N65" s="20" t="n">
        <v>3</v>
      </c>
      <c r="O65" s="5">
        <f>IF((Finans!K65+Finans!L65)/2&lt;14,5,IF((Finans!K65+Finans!L65)/2&lt;28,4,IF((Finans!K65+Finans!L65)/2&lt;=56,3,IF((Finans!K65+Finans!L65)/2&lt;=90,2,1))))</f>
        <v>2</v>
      </c>
      <c r="P65" s="5">
        <f>IF(Finans!I65/Hedef!$C$7&lt;1,5,IF(Finans!I65/Hedef!$C$7&lt;3,4,IF(Finans!I65/Hedef!$C$7&lt;=5,3,IF(Finans!I65/Hedef!$C$7&lt;=8,2,1))))</f>
        <v>2</v>
      </c>
      <c r="Q65" s="20" t="n">
        <v>5</v>
      </c>
      <c r="R65" s="20" t="n">
        <v>4</v>
      </c>
      <c r="S65" s="20" t="n">
        <v>4</v>
      </c>
      <c r="T65" s="20" t="n">
        <v>5</v>
      </c>
      <c r="U65" s="5">
        <f>IF(Finans!AI65&lt;=0,0,IF(Finans!AI65&lt;=5,5,IF(Finans!AI65&lt;10,4,IF(Finans!AI65&lt;=30,3,IF(Finans!AI65&lt;100,2,1)))))</f>
        <v>1</v>
      </c>
      <c r="V65" s="20" t="n">
        <v>1</v>
      </c>
      <c r="W65" s="20" t="n">
        <v>3</v>
      </c>
      <c r="X65" s="20" t="n">
        <v>3</v>
      </c>
      <c r="Y65" s="20" t="n">
        <v>2</v>
      </c>
      <c r="Z65" s="20" t="n">
        <v>5</v>
      </c>
      <c r="AA65" s="20" t="n">
        <v>5</v>
      </c>
      <c r="AB65" s="20" t="n">
        <v>5</v>
      </c>
      <c r="AD65" s="20" t="n">
        <v>1</v>
      </c>
      <c r="AE65" s="20" t="n">
        <v>1</v>
      </c>
      <c r="AF65" s="20" t="n">
        <v>4</v>
      </c>
      <c r="AG65" s="20" t="n">
        <v>4</v>
      </c>
    </row>
    <row r="66">
      <c r="A66" s="7" t="str">
        <f>Secenekler!A66</f>
        <v>ai-first-tasarim-b</v>
      </c>
      <c r="B66" s="7" t="str">
        <f>Secenekler!C66</f>
        <v>Ekip atölyesi ve 2 haftalık tasarım sistemi kurulumu</v>
      </c>
      <c r="C66" s="20" t="n">
        <v>3</v>
      </c>
      <c r="D66" s="20" t="n">
        <v>3</v>
      </c>
      <c r="E66" s="20" t="n">
        <v>2</v>
      </c>
      <c r="F66" s="20" t="n">
        <v>3</v>
      </c>
      <c r="G66" s="20" t="n">
        <v>3</v>
      </c>
      <c r="H66" s="20" t="n">
        <v>1</v>
      </c>
      <c r="I66" s="20" t="n">
        <v>2</v>
      </c>
      <c r="J66" s="20" t="n">
        <v>1</v>
      </c>
      <c r="K66" s="20" t="n">
        <v>3</v>
      </c>
      <c r="L66" s="20" t="n">
        <v>2</v>
      </c>
      <c r="M66" s="20" t="n">
        <v>3</v>
      </c>
      <c r="N66" s="20" t="n">
        <v>3</v>
      </c>
      <c r="O66" s="5">
        <f>IF((Finans!K66+Finans!L66)/2&lt;14,5,IF((Finans!K66+Finans!L66)/2&lt;28,4,IF((Finans!K66+Finans!L66)/2&lt;=56,3,IF((Finans!K66+Finans!L66)/2&lt;=90,2,1))))</f>
        <v>1</v>
      </c>
      <c r="P66" s="5">
        <f>IF(Finans!I66/Hedef!$C$7&lt;1,5,IF(Finans!I66/Hedef!$C$7&lt;3,4,IF(Finans!I66/Hedef!$C$7&lt;=5,3,IF(Finans!I66/Hedef!$C$7&lt;=8,2,1))))</f>
        <v>3</v>
      </c>
      <c r="Q66" s="20" t="n">
        <v>3</v>
      </c>
      <c r="R66" s="20" t="n">
        <v>3</v>
      </c>
      <c r="S66" s="20" t="n">
        <v>1</v>
      </c>
      <c r="T66" s="20" t="n">
        <v>2</v>
      </c>
      <c r="U66" s="5">
        <f>IF(Finans!AI66&lt;=0,0,IF(Finans!AI66&lt;=5,5,IF(Finans!AI66&lt;10,4,IF(Finans!AI66&lt;=30,3,IF(Finans!AI66&lt;100,2,1)))))</f>
        <v>4</v>
      </c>
      <c r="V66" s="20" t="n">
        <v>2</v>
      </c>
      <c r="W66" s="20" t="n">
        <v>3</v>
      </c>
      <c r="X66" s="20" t="n">
        <v>3</v>
      </c>
      <c r="Y66" s="20" t="n">
        <v>3</v>
      </c>
      <c r="Z66" s="20" t="n">
        <v>2</v>
      </c>
      <c r="AA66" s="20" t="n">
        <v>4</v>
      </c>
      <c r="AB66" s="20" t="n">
        <v>3</v>
      </c>
      <c r="AD66" s="20" t="n">
        <v>1</v>
      </c>
      <c r="AE66" s="20" t="n">
        <v>1</v>
      </c>
      <c r="AF66" s="20" t="n">
        <v>1</v>
      </c>
      <c r="AG66" s="20" t="n">
        <v>4</v>
      </c>
    </row>
    <row r="67">
      <c r="A67" s="7" t="str">
        <f>Secenekler!A67</f>
        <v>ai-first-tasarim-c</v>
      </c>
      <c r="B67" s="7" t="str">
        <f>Secenekler!C67</f>
        <v>Ajansa sabit fiyatlı form ve tablo kabul dosyası paketi</v>
      </c>
      <c r="C67" s="20" t="n">
        <v>3</v>
      </c>
      <c r="D67" s="20" t="n">
        <v>3</v>
      </c>
      <c r="E67" s="20" t="n">
        <v>2</v>
      </c>
      <c r="F67" s="20" t="n">
        <v>3</v>
      </c>
      <c r="G67" s="20" t="n">
        <v>4</v>
      </c>
      <c r="H67" s="20" t="n">
        <v>1</v>
      </c>
      <c r="I67" s="20" t="n">
        <v>2</v>
      </c>
      <c r="J67" s="20" t="n">
        <v>1</v>
      </c>
      <c r="K67" s="20" t="n">
        <v>3</v>
      </c>
      <c r="L67" s="20" t="n">
        <v>2</v>
      </c>
      <c r="M67" s="20" t="n">
        <v>3</v>
      </c>
      <c r="N67" s="20" t="n">
        <v>2</v>
      </c>
      <c r="O67" s="5">
        <f>IF((Finans!K67+Finans!L67)/2&lt;14,5,IF((Finans!K67+Finans!L67)/2&lt;28,4,IF((Finans!K67+Finans!L67)/2&lt;=56,3,IF((Finans!K67+Finans!L67)/2&lt;=90,2,1))))</f>
        <v>2</v>
      </c>
      <c r="P67" s="5">
        <f>IF(Finans!I67/Hedef!$C$7&lt;1,5,IF(Finans!I67/Hedef!$C$7&lt;3,4,IF(Finans!I67/Hedef!$C$7&lt;=5,3,IF(Finans!I67/Hedef!$C$7&lt;=8,2,1))))</f>
        <v>4</v>
      </c>
      <c r="Q67" s="20" t="n">
        <v>3</v>
      </c>
      <c r="R67" s="20" t="n">
        <v>3</v>
      </c>
      <c r="S67" s="20" t="n">
        <v>1</v>
      </c>
      <c r="T67" s="20" t="n">
        <v>3</v>
      </c>
      <c r="U67" s="5">
        <f>IF(Finans!AI67&lt;=0,0,IF(Finans!AI67&lt;=5,5,IF(Finans!AI67&lt;10,4,IF(Finans!AI67&lt;=30,3,IF(Finans!AI67&lt;100,2,1)))))</f>
        <v>4</v>
      </c>
      <c r="V67" s="20" t="n">
        <v>2</v>
      </c>
      <c r="W67" s="20" t="n">
        <v>2</v>
      </c>
      <c r="X67" s="20" t="n">
        <v>3</v>
      </c>
      <c r="Y67" s="20" t="n">
        <v>2</v>
      </c>
      <c r="Z67" s="20" t="n">
        <v>2</v>
      </c>
      <c r="AA67" s="20" t="n">
        <v>4</v>
      </c>
      <c r="AB67" s="20" t="n">
        <v>4</v>
      </c>
      <c r="AD67" s="20" t="n">
        <v>2</v>
      </c>
      <c r="AE67" s="20" t="n">
        <v>1</v>
      </c>
      <c r="AF67" s="20" t="n">
        <v>2</v>
      </c>
      <c r="AG67" s="20" t="n">
        <v>3</v>
      </c>
    </row>
    <row r="68">
      <c r="A68" s="7" t="str">
        <f>Secenekler!A68</f>
        <v>aicommandcard-a</v>
      </c>
      <c r="B68" s="7" t="str">
        <f>Secenekler!C68</f>
        <v>QR menü ürününde AI asistan (₺999 plan katmanı)</v>
      </c>
      <c r="C68" s="20" t="n">
        <v>3</v>
      </c>
      <c r="D68" s="20" t="n">
        <v>3</v>
      </c>
      <c r="E68" s="20" t="n">
        <v>2</v>
      </c>
      <c r="F68" s="20" t="n">
        <v>3</v>
      </c>
      <c r="G68" s="20" t="n">
        <v>4</v>
      </c>
      <c r="H68" s="20" t="n">
        <v>1</v>
      </c>
      <c r="I68" s="20" t="n">
        <v>2</v>
      </c>
      <c r="J68" s="20" t="n">
        <v>1</v>
      </c>
      <c r="K68" s="20" t="n">
        <v>3</v>
      </c>
      <c r="L68" s="20" t="n">
        <v>1</v>
      </c>
      <c r="M68" s="20" t="n">
        <v>3</v>
      </c>
      <c r="N68" s="20" t="n">
        <v>3</v>
      </c>
      <c r="O68" s="5">
        <f>IF((Finans!K68+Finans!L68)/2&lt;14,5,IF((Finans!K68+Finans!L68)/2&lt;28,4,IF((Finans!K68+Finans!L68)/2&lt;=56,3,IF((Finans!K68+Finans!L68)/2&lt;=90,2,1))))</f>
        <v>1</v>
      </c>
      <c r="P68" s="5">
        <f>IF(Finans!I68/Hedef!$C$7&lt;1,5,IF(Finans!I68/Hedef!$C$7&lt;3,4,IF(Finans!I68/Hedef!$C$7&lt;=5,3,IF(Finans!I68/Hedef!$C$7&lt;=8,2,1))))</f>
        <v>2</v>
      </c>
      <c r="Q68" s="20" t="n">
        <v>3</v>
      </c>
      <c r="R68" s="20" t="n">
        <v>5</v>
      </c>
      <c r="S68" s="20" t="n">
        <v>3</v>
      </c>
      <c r="T68" s="20" t="n">
        <v>4</v>
      </c>
      <c r="U68" s="5">
        <f>IF(Finans!AI68&lt;=0,0,IF(Finans!AI68&lt;=5,5,IF(Finans!AI68&lt;10,4,IF(Finans!AI68&lt;=30,3,IF(Finans!AI68&lt;100,2,1)))))</f>
        <v>1</v>
      </c>
      <c r="V68" s="20" t="n">
        <v>4</v>
      </c>
      <c r="W68" s="20" t="n">
        <v>4</v>
      </c>
      <c r="X68" s="20" t="n">
        <v>3</v>
      </c>
      <c r="Y68" s="20" t="n">
        <v>2</v>
      </c>
      <c r="Z68" s="20" t="n">
        <v>3</v>
      </c>
      <c r="AA68" s="20" t="n">
        <v>2</v>
      </c>
      <c r="AB68" s="20" t="n">
        <v>4</v>
      </c>
      <c r="AD68" s="20" t="n">
        <v>2</v>
      </c>
      <c r="AE68" s="20" t="n">
        <v>2</v>
      </c>
      <c r="AF68" s="20" t="n">
        <v>4</v>
      </c>
      <c r="AG68" s="20" t="n">
        <v>4</v>
      </c>
    </row>
    <row r="69">
      <c r="A69" s="7" t="str">
        <f>Secenekler!A69</f>
        <v>aicommandcard-b</v>
      </c>
      <c r="B69" s="7" t="str">
        <f>Secenekler!C69</f>
        <v>Sabit kapsamlı AiCommandCard entegrasyon paketi</v>
      </c>
      <c r="C69" s="20" t="n">
        <v>2</v>
      </c>
      <c r="D69" s="20" t="n">
        <v>2</v>
      </c>
      <c r="E69" s="20" t="n">
        <v>3</v>
      </c>
      <c r="F69" s="20" t="n">
        <v>3</v>
      </c>
      <c r="G69" s="20" t="n">
        <v>4</v>
      </c>
      <c r="H69" s="20" t="n">
        <v>1</v>
      </c>
      <c r="I69" s="20" t="n">
        <v>1</v>
      </c>
      <c r="J69" s="20" t="n">
        <v>2</v>
      </c>
      <c r="K69" s="20" t="n">
        <v>2</v>
      </c>
      <c r="L69" s="20" t="n">
        <v>1</v>
      </c>
      <c r="M69" s="20" t="n">
        <v>3</v>
      </c>
      <c r="N69" s="20" t="n">
        <v>3</v>
      </c>
      <c r="O69" s="5">
        <f>IF((Finans!K69+Finans!L69)/2&lt;14,5,IF((Finans!K69+Finans!L69)/2&lt;28,4,IF((Finans!K69+Finans!L69)/2&lt;=56,3,IF((Finans!K69+Finans!L69)/2&lt;=90,2,1))))</f>
        <v>2</v>
      </c>
      <c r="P69" s="5">
        <f>IF(Finans!I69/Hedef!$C$7&lt;1,5,IF(Finans!I69/Hedef!$C$7&lt;3,4,IF(Finans!I69/Hedef!$C$7&lt;=5,3,IF(Finans!I69/Hedef!$C$7&lt;=8,2,1))))</f>
        <v>4</v>
      </c>
      <c r="Q69" s="20" t="n">
        <v>3</v>
      </c>
      <c r="R69" s="20" t="n">
        <v>2</v>
      </c>
      <c r="S69" s="20" t="n">
        <v>2</v>
      </c>
      <c r="T69" s="20" t="n">
        <v>2</v>
      </c>
      <c r="U69" s="5">
        <f>IF(Finans!AI69&lt;=0,0,IF(Finans!AI69&lt;=5,5,IF(Finans!AI69&lt;10,4,IF(Finans!AI69&lt;=30,3,IF(Finans!AI69&lt;100,2,1)))))</f>
        <v>3</v>
      </c>
      <c r="V69" s="20" t="n">
        <v>2</v>
      </c>
      <c r="W69" s="20" t="n">
        <v>2</v>
      </c>
      <c r="X69" s="20" t="n">
        <v>3</v>
      </c>
      <c r="Y69" s="20" t="n">
        <v>2</v>
      </c>
      <c r="Z69" s="20" t="n">
        <v>2</v>
      </c>
      <c r="AA69" s="20" t="n">
        <v>4</v>
      </c>
      <c r="AB69" s="20" t="n">
        <v>3</v>
      </c>
      <c r="AD69" s="20" t="n">
        <v>2</v>
      </c>
      <c r="AE69" s="20" t="n">
        <v>1</v>
      </c>
      <c r="AF69" s="20" t="n">
        <v>1</v>
      </c>
      <c r="AG69" s="20" t="n">
        <v>3</v>
      </c>
    </row>
    <row r="70">
      <c r="A70" s="7" t="str">
        <f>Secenekler!A70</f>
        <v>atonota-denetim-a</v>
      </c>
      <c r="B70" s="7" t="str">
        <f>Secenekler!C70</f>
        <v>Ücretsiz puan kartı eklentisi ve Pro yıllık lisans</v>
      </c>
      <c r="C70" s="20" t="n">
        <v>3</v>
      </c>
      <c r="D70" s="20" t="n">
        <v>2</v>
      </c>
      <c r="E70" s="20" t="n">
        <v>2</v>
      </c>
      <c r="F70" s="20" t="n">
        <v>3</v>
      </c>
      <c r="G70" s="20" t="n">
        <v>4</v>
      </c>
      <c r="H70" s="20" t="n">
        <v>1</v>
      </c>
      <c r="I70" s="20" t="n">
        <v>2</v>
      </c>
      <c r="J70" s="20" t="n">
        <v>3</v>
      </c>
      <c r="K70" s="20" t="n">
        <v>3</v>
      </c>
      <c r="L70" s="20" t="n">
        <v>2</v>
      </c>
      <c r="M70" s="20" t="n">
        <v>3</v>
      </c>
      <c r="N70" s="20" t="n">
        <v>2</v>
      </c>
      <c r="O70" s="5">
        <f>IF((Finans!K70+Finans!L70)/2&lt;14,5,IF((Finans!K70+Finans!L70)/2&lt;28,4,IF((Finans!K70+Finans!L70)/2&lt;=56,3,IF((Finans!K70+Finans!L70)/2&lt;=90,2,1))))</f>
        <v>2</v>
      </c>
      <c r="P70" s="5">
        <f>IF(Finans!I70/Hedef!$C$7&lt;1,5,IF(Finans!I70/Hedef!$C$7&lt;3,4,IF(Finans!I70/Hedef!$C$7&lt;=5,3,IF(Finans!I70/Hedef!$C$7&lt;=8,2,1))))</f>
        <v>2</v>
      </c>
      <c r="Q70" s="20" t="n">
        <v>4</v>
      </c>
      <c r="R70" s="20" t="n">
        <v>4</v>
      </c>
      <c r="S70" s="20" t="n">
        <v>4</v>
      </c>
      <c r="T70" s="20" t="n">
        <v>4</v>
      </c>
      <c r="U70" s="5">
        <f>IF(Finans!AI70&lt;=0,0,IF(Finans!AI70&lt;=5,5,IF(Finans!AI70&lt;10,4,IF(Finans!AI70&lt;=30,3,IF(Finans!AI70&lt;100,2,1)))))</f>
        <v>2</v>
      </c>
      <c r="V70" s="20" t="n">
        <v>4</v>
      </c>
      <c r="W70" s="20" t="n">
        <v>3</v>
      </c>
      <c r="X70" s="20" t="n">
        <v>3</v>
      </c>
      <c r="Y70" s="20" t="n">
        <v>2</v>
      </c>
      <c r="Z70" s="20" t="n">
        <v>4</v>
      </c>
      <c r="AA70" s="20" t="n">
        <v>3</v>
      </c>
      <c r="AB70" s="20" t="n">
        <v>4</v>
      </c>
      <c r="AD70" s="20" t="n">
        <v>2</v>
      </c>
      <c r="AE70" s="20" t="n">
        <v>2</v>
      </c>
      <c r="AF70" s="20" t="n">
        <v>4</v>
      </c>
      <c r="AG70" s="20" t="n">
        <v>3</v>
      </c>
    </row>
    <row r="71">
      <c r="A71" s="7" t="str">
        <f>Secenekler!A71</f>
        <v>atonota-denetim-b</v>
      </c>
      <c r="B71" s="7" t="str">
        <f>Secenekler!C71</f>
        <v>Ajans lisansı: 25 site için aylık müşteri sağlık raporu</v>
      </c>
      <c r="C71" s="20" t="n">
        <v>3</v>
      </c>
      <c r="D71" s="20" t="n">
        <v>4</v>
      </c>
      <c r="E71" s="20" t="n">
        <v>3</v>
      </c>
      <c r="F71" s="20" t="n">
        <v>4</v>
      </c>
      <c r="G71" s="20" t="n">
        <v>4</v>
      </c>
      <c r="H71" s="20" t="n">
        <v>2</v>
      </c>
      <c r="I71" s="20" t="n">
        <v>1</v>
      </c>
      <c r="J71" s="20" t="n">
        <v>2</v>
      </c>
      <c r="K71" s="20" t="n">
        <v>2</v>
      </c>
      <c r="L71" s="20" t="n">
        <v>2</v>
      </c>
      <c r="M71" s="20" t="n">
        <v>3</v>
      </c>
      <c r="N71" s="20" t="n">
        <v>3</v>
      </c>
      <c r="O71" s="5">
        <f>IF((Finans!K71+Finans!L71)/2&lt;14,5,IF((Finans!K71+Finans!L71)/2&lt;28,4,IF((Finans!K71+Finans!L71)/2&lt;=56,3,IF((Finans!K71+Finans!L71)/2&lt;=90,2,1))))</f>
        <v>2</v>
      </c>
      <c r="P71" s="5">
        <f>IF(Finans!I71/Hedef!$C$7&lt;1,5,IF(Finans!I71/Hedef!$C$7&lt;3,4,IF(Finans!I71/Hedef!$C$7&lt;=5,3,IF(Finans!I71/Hedef!$C$7&lt;=8,2,1))))</f>
        <v>2</v>
      </c>
      <c r="Q71" s="20" t="n">
        <v>3</v>
      </c>
      <c r="R71" s="20" t="n">
        <v>4</v>
      </c>
      <c r="S71" s="20" t="n">
        <v>3</v>
      </c>
      <c r="T71" s="20" t="n">
        <v>3</v>
      </c>
      <c r="U71" s="5">
        <f>IF(Finans!AI71&lt;=0,0,IF(Finans!AI71&lt;=5,5,IF(Finans!AI71&lt;10,4,IF(Finans!AI71&lt;=30,3,IF(Finans!AI71&lt;100,2,1)))))</f>
        <v>3</v>
      </c>
      <c r="V71" s="20" t="n">
        <v>4</v>
      </c>
      <c r="W71" s="20" t="n">
        <v>4</v>
      </c>
      <c r="X71" s="20" t="n">
        <v>3</v>
      </c>
      <c r="Y71" s="20" t="n">
        <v>2</v>
      </c>
      <c r="Z71" s="20" t="n">
        <v>3</v>
      </c>
      <c r="AA71" s="20" t="n">
        <v>3</v>
      </c>
      <c r="AB71" s="20" t="n">
        <v>3</v>
      </c>
      <c r="AD71" s="20" t="n">
        <v>2</v>
      </c>
      <c r="AE71" s="20" t="n">
        <v>2</v>
      </c>
      <c r="AF71" s="20" t="n">
        <v>3</v>
      </c>
      <c r="AG71" s="20" t="n">
        <v>3</v>
      </c>
    </row>
    <row r="72">
      <c r="A72" s="7" t="str">
        <f>Secenekler!A72</f>
        <v>atonota-denetim-c</v>
      </c>
      <c r="B72" s="7" t="str">
        <f>Secenekler!C72</f>
        <v>Ajans için müşteri kabul ve teslim kaydı hizmeti (pilot)</v>
      </c>
      <c r="C72" s="20" t="n">
        <v>3</v>
      </c>
      <c r="D72" s="20" t="n">
        <v>3</v>
      </c>
      <c r="E72" s="20" t="n">
        <v>2</v>
      </c>
      <c r="F72" s="20" t="n">
        <v>3</v>
      </c>
      <c r="G72" s="20" t="n">
        <v>3</v>
      </c>
      <c r="H72" s="20" t="n">
        <v>1</v>
      </c>
      <c r="I72" s="20" t="n">
        <v>1</v>
      </c>
      <c r="J72" s="20" t="n">
        <v>1</v>
      </c>
      <c r="K72" s="20" t="n">
        <v>2</v>
      </c>
      <c r="L72" s="20" t="n">
        <v>3</v>
      </c>
      <c r="M72" s="20" t="n">
        <v>2</v>
      </c>
      <c r="N72" s="20" t="n">
        <v>2</v>
      </c>
      <c r="O72" s="5">
        <f>IF((Finans!K72+Finans!L72)/2&lt;14,5,IF((Finans!K72+Finans!L72)/2&lt;28,4,IF((Finans!K72+Finans!L72)/2&lt;=56,3,IF((Finans!K72+Finans!L72)/2&lt;=90,2,1))))</f>
        <v>1</v>
      </c>
      <c r="P72" s="5">
        <f>IF(Finans!I72/Hedef!$C$7&lt;1,5,IF(Finans!I72/Hedef!$C$7&lt;3,4,IF(Finans!I72/Hedef!$C$7&lt;=5,3,IF(Finans!I72/Hedef!$C$7&lt;=8,2,1))))</f>
        <v>2</v>
      </c>
      <c r="Q72" s="20" t="n">
        <v>2</v>
      </c>
      <c r="R72" s="20" t="n">
        <v>2</v>
      </c>
      <c r="S72" s="20" t="n">
        <v>1</v>
      </c>
      <c r="T72" s="20" t="n">
        <v>2</v>
      </c>
      <c r="U72" s="5">
        <f>IF(Finans!AI72&lt;=0,0,IF(Finans!AI72&lt;=5,5,IF(Finans!AI72&lt;10,4,IF(Finans!AI72&lt;=30,3,IF(Finans!AI72&lt;100,2,1)))))</f>
        <v>3</v>
      </c>
      <c r="V72" s="20" t="n">
        <v>5</v>
      </c>
      <c r="W72" s="20" t="n">
        <v>3</v>
      </c>
      <c r="X72" s="20" t="n">
        <v>3</v>
      </c>
      <c r="Y72" s="20" t="n">
        <v>2</v>
      </c>
      <c r="Z72" s="20" t="n">
        <v>2</v>
      </c>
      <c r="AA72" s="20" t="n">
        <v>3</v>
      </c>
      <c r="AB72" s="20" t="n">
        <v>2</v>
      </c>
      <c r="AD72" s="20" t="n">
        <v>2</v>
      </c>
      <c r="AE72" s="20" t="n">
        <v>2</v>
      </c>
      <c r="AF72" s="20" t="n">
        <v>2</v>
      </c>
      <c r="AG72" s="20" t="n">
        <v>3</v>
      </c>
    </row>
    <row r="73">
      <c r="A73" s="7" t="str">
        <f>Secenekler!A73</f>
        <v>b2b-bilesenler-a</v>
      </c>
      <c r="B73" s="7" t="str">
        <f>Secenekler!C73</f>
        <v>Site paketine ek: ürün sayfası ve hareket blokları</v>
      </c>
      <c r="C73" s="20" t="n">
        <v>3</v>
      </c>
      <c r="D73" s="20" t="n">
        <v>2</v>
      </c>
      <c r="E73" s="20" t="n">
        <v>2</v>
      </c>
      <c r="F73" s="20" t="n">
        <v>3</v>
      </c>
      <c r="G73" s="20" t="n">
        <v>3</v>
      </c>
      <c r="H73" s="20" t="n">
        <v>1</v>
      </c>
      <c r="I73" s="20" t="n">
        <v>3</v>
      </c>
      <c r="J73" s="20" t="n">
        <v>1</v>
      </c>
      <c r="K73" s="20" t="n">
        <v>3</v>
      </c>
      <c r="L73" s="20" t="n">
        <v>2</v>
      </c>
      <c r="M73" s="20" t="n">
        <v>3</v>
      </c>
      <c r="N73" s="20" t="n">
        <v>3</v>
      </c>
      <c r="O73" s="5">
        <f>IF((Finans!K73+Finans!L73)/2&lt;14,5,IF((Finans!K73+Finans!L73)/2&lt;28,4,IF((Finans!K73+Finans!L73)/2&lt;=56,3,IF((Finans!K73+Finans!L73)/2&lt;=90,2,1))))</f>
        <v>2</v>
      </c>
      <c r="P73" s="5">
        <f>IF(Finans!I73/Hedef!$C$7&lt;1,5,IF(Finans!I73/Hedef!$C$7&lt;3,4,IF(Finans!I73/Hedef!$C$7&lt;=5,3,IF(Finans!I73/Hedef!$C$7&lt;=8,2,1))))</f>
        <v>3</v>
      </c>
      <c r="Q73" s="20" t="n">
        <v>3</v>
      </c>
      <c r="R73" s="20" t="n">
        <v>2</v>
      </c>
      <c r="S73" s="20" t="n">
        <v>1</v>
      </c>
      <c r="T73" s="20" t="n">
        <v>3</v>
      </c>
      <c r="U73" s="5">
        <f>IF(Finans!AI73&lt;=0,0,IF(Finans!AI73&lt;=5,5,IF(Finans!AI73&lt;10,4,IF(Finans!AI73&lt;=30,3,IF(Finans!AI73&lt;100,2,1)))))</f>
        <v>4</v>
      </c>
      <c r="V73" s="20" t="n">
        <v>2</v>
      </c>
      <c r="W73" s="20" t="n">
        <v>3</v>
      </c>
      <c r="X73" s="20" t="n">
        <v>4</v>
      </c>
      <c r="Y73" s="20" t="n">
        <v>3</v>
      </c>
      <c r="Z73" s="20" t="n">
        <v>3</v>
      </c>
      <c r="AA73" s="20" t="n">
        <v>4</v>
      </c>
      <c r="AB73" s="20" t="n">
        <v>3</v>
      </c>
      <c r="AD73" s="20" t="n">
        <v>2</v>
      </c>
      <c r="AE73" s="20" t="n">
        <v>1</v>
      </c>
      <c r="AF73" s="20" t="n">
        <v>2</v>
      </c>
      <c r="AG73" s="20" t="n">
        <v>4</v>
      </c>
    </row>
    <row r="74">
      <c r="A74" s="7" t="str">
        <f>Secenekler!A74</f>
        <v>b2b-bilesenler-b</v>
      </c>
      <c r="B74" s="7" t="str">
        <f>Secenekler!C74</f>
        <v>Tek ürün, iki mobil alıcı görünümü (sabit paket)</v>
      </c>
      <c r="C74" s="20" t="n">
        <v>2</v>
      </c>
      <c r="D74" s="20" t="n">
        <v>2</v>
      </c>
      <c r="E74" s="20" t="n">
        <v>2</v>
      </c>
      <c r="F74" s="20" t="n">
        <v>3</v>
      </c>
      <c r="G74" s="20" t="n">
        <v>3</v>
      </c>
      <c r="H74" s="20" t="n">
        <v>1</v>
      </c>
      <c r="I74" s="20" t="n">
        <v>1</v>
      </c>
      <c r="J74" s="20" t="n">
        <v>1</v>
      </c>
      <c r="K74" s="20" t="n">
        <v>2</v>
      </c>
      <c r="L74" s="20" t="n">
        <v>1</v>
      </c>
      <c r="M74" s="20" t="n">
        <v>2</v>
      </c>
      <c r="N74" s="20" t="n">
        <v>2</v>
      </c>
      <c r="O74" s="5">
        <f>IF((Finans!K74+Finans!L74)/2&lt;14,5,IF((Finans!K74+Finans!L74)/2&lt;28,4,IF((Finans!K74+Finans!L74)/2&lt;=56,3,IF((Finans!K74+Finans!L74)/2&lt;=90,2,1))))</f>
        <v>2</v>
      </c>
      <c r="P74" s="5">
        <f>IF(Finans!I74/Hedef!$C$7&lt;1,5,IF(Finans!I74/Hedef!$C$7&lt;3,4,IF(Finans!I74/Hedef!$C$7&lt;=5,3,IF(Finans!I74/Hedef!$C$7&lt;=8,2,1))))</f>
        <v>4</v>
      </c>
      <c r="Q74" s="20" t="n">
        <v>3</v>
      </c>
      <c r="R74" s="20" t="n">
        <v>3</v>
      </c>
      <c r="S74" s="20" t="n">
        <v>2</v>
      </c>
      <c r="T74" s="20" t="n">
        <v>3</v>
      </c>
      <c r="U74" s="5">
        <f>IF(Finans!AI74&lt;=0,0,IF(Finans!AI74&lt;=5,5,IF(Finans!AI74&lt;10,4,IF(Finans!AI74&lt;=30,3,IF(Finans!AI74&lt;100,2,1)))))</f>
        <v>3</v>
      </c>
      <c r="V74" s="20" t="n">
        <v>2</v>
      </c>
      <c r="W74" s="20" t="n">
        <v>3</v>
      </c>
      <c r="X74" s="20" t="n">
        <v>3</v>
      </c>
      <c r="Y74" s="20" t="n">
        <v>2</v>
      </c>
      <c r="Z74" s="20" t="n">
        <v>2</v>
      </c>
      <c r="AA74" s="20" t="n">
        <v>4</v>
      </c>
      <c r="AB74" s="20" t="n">
        <v>4</v>
      </c>
      <c r="AD74" s="20" t="n">
        <v>2</v>
      </c>
      <c r="AE74" s="20" t="n">
        <v>1</v>
      </c>
      <c r="AF74" s="20" t="n">
        <v>2</v>
      </c>
      <c r="AG74" s="20" t="n">
        <v>3</v>
      </c>
    </row>
    <row r="75">
      <c r="A75" s="7" t="str">
        <f>Secenekler!A75</f>
        <v>b2b-bilesenler-c</v>
      </c>
      <c r="B75" s="7" t="str">
        <f>Secenekler!C75</f>
        <v>Astro ve Tailwind ürün sayfası şablonu (kod satışı)</v>
      </c>
      <c r="C75" s="20" t="n">
        <v>1</v>
      </c>
      <c r="D75" s="20" t="n">
        <v>2</v>
      </c>
      <c r="E75" s="20" t="n">
        <v>3</v>
      </c>
      <c r="F75" s="20" t="n">
        <v>3</v>
      </c>
      <c r="G75" s="20" t="n">
        <v>5</v>
      </c>
      <c r="H75" s="20" t="n">
        <v>2</v>
      </c>
      <c r="I75" s="20" t="n">
        <v>1</v>
      </c>
      <c r="J75" s="20" t="n">
        <v>3</v>
      </c>
      <c r="K75" s="20" t="n">
        <v>3</v>
      </c>
      <c r="L75" s="20" t="n">
        <v>2</v>
      </c>
      <c r="M75" s="20" t="n">
        <v>2</v>
      </c>
      <c r="N75" s="20" t="n">
        <v>3</v>
      </c>
      <c r="O75" s="5">
        <f>IF((Finans!K75+Finans!L75)/2&lt;14,5,IF((Finans!K75+Finans!L75)/2&lt;28,4,IF((Finans!K75+Finans!L75)/2&lt;=56,3,IF((Finans!K75+Finans!L75)/2&lt;=90,2,1))))</f>
        <v>1</v>
      </c>
      <c r="P75" s="5">
        <f>IF(Finans!I75/Hedef!$C$7&lt;1,5,IF(Finans!I75/Hedef!$C$7&lt;3,4,IF(Finans!I75/Hedef!$C$7&lt;=5,3,IF(Finans!I75/Hedef!$C$7&lt;=8,2,1))))</f>
        <v>2</v>
      </c>
      <c r="Q75" s="20" t="n">
        <v>5</v>
      </c>
      <c r="R75" s="20" t="n">
        <v>4</v>
      </c>
      <c r="S75" s="20" t="n">
        <v>5</v>
      </c>
      <c r="T75" s="20" t="n">
        <v>3</v>
      </c>
      <c r="U75" s="5">
        <f>IF(Finans!AI75&lt;=0,0,IF(Finans!AI75&lt;=5,5,IF(Finans!AI75&lt;10,4,IF(Finans!AI75&lt;=30,3,IF(Finans!AI75&lt;100,2,1)))))</f>
        <v>2</v>
      </c>
      <c r="V75" s="20" t="n">
        <v>1</v>
      </c>
      <c r="W75" s="20" t="n">
        <v>3</v>
      </c>
      <c r="X75" s="20" t="n">
        <v>3</v>
      </c>
      <c r="Y75" s="20" t="n">
        <v>1</v>
      </c>
      <c r="Z75" s="20" t="n">
        <v>4</v>
      </c>
      <c r="AA75" s="20" t="n">
        <v>4</v>
      </c>
      <c r="AB75" s="20" t="n">
        <v>5</v>
      </c>
      <c r="AD75" s="20" t="n">
        <v>2</v>
      </c>
      <c r="AE75" s="20" t="n">
        <v>1</v>
      </c>
      <c r="AF75" s="20" t="n">
        <v>4</v>
      </c>
      <c r="AG75" s="20" t="n">
        <v>3</v>
      </c>
    </row>
    <row r="76">
      <c r="A76" s="7" t="str">
        <f>Secenekler!A76</f>
        <v>banner-post-a</v>
      </c>
      <c r="B76" s="7" t="str">
        <f>Secenekler!C76</f>
        <v>Zabuno içinde kampanya görseli modülü</v>
      </c>
      <c r="C76" s="20" t="n">
        <v>3</v>
      </c>
      <c r="D76" s="20" t="n">
        <v>3</v>
      </c>
      <c r="E76" s="20" t="n">
        <v>2</v>
      </c>
      <c r="F76" s="20" t="n">
        <v>3</v>
      </c>
      <c r="G76" s="20" t="n">
        <v>5</v>
      </c>
      <c r="H76" s="20" t="n">
        <v>1</v>
      </c>
      <c r="I76" s="20" t="n">
        <v>2</v>
      </c>
      <c r="J76" s="20" t="n">
        <v>2</v>
      </c>
      <c r="K76" s="20" t="n">
        <v>3</v>
      </c>
      <c r="L76" s="20" t="n">
        <v>2</v>
      </c>
      <c r="M76" s="20" t="n">
        <v>3</v>
      </c>
      <c r="N76" s="20" t="n">
        <v>3</v>
      </c>
      <c r="O76" s="5">
        <f>IF((Finans!K76+Finans!L76)/2&lt;14,5,IF((Finans!K76+Finans!L76)/2&lt;28,4,IF((Finans!K76+Finans!L76)/2&lt;=56,3,IF((Finans!K76+Finans!L76)/2&lt;=90,2,1))))</f>
        <v>1</v>
      </c>
      <c r="P76" s="5">
        <f>IF(Finans!I76/Hedef!$C$7&lt;1,5,IF(Finans!I76/Hedef!$C$7&lt;3,4,IF(Finans!I76/Hedef!$C$7&lt;=5,3,IF(Finans!I76/Hedef!$C$7&lt;=8,2,1))))</f>
        <v>1</v>
      </c>
      <c r="Q76" s="20" t="n">
        <v>3</v>
      </c>
      <c r="R76" s="20" t="n">
        <v>4</v>
      </c>
      <c r="S76" s="20" t="n">
        <v>3</v>
      </c>
      <c r="T76" s="20" t="n">
        <v>4</v>
      </c>
      <c r="U76" s="5">
        <f>IF(Finans!AI76&lt;=0,0,IF(Finans!AI76&lt;=5,5,IF(Finans!AI76&lt;10,4,IF(Finans!AI76&lt;=30,3,IF(Finans!AI76&lt;100,2,1)))))</f>
        <v>1</v>
      </c>
      <c r="V76" s="20" t="n">
        <v>4</v>
      </c>
      <c r="W76" s="20" t="n">
        <v>3</v>
      </c>
      <c r="X76" s="20" t="n">
        <v>3</v>
      </c>
      <c r="Y76" s="20" t="n">
        <v>2</v>
      </c>
      <c r="Z76" s="20" t="n">
        <v>3</v>
      </c>
      <c r="AA76" s="20" t="n">
        <v>3</v>
      </c>
      <c r="AB76" s="20" t="n">
        <v>4</v>
      </c>
      <c r="AD76" s="20" t="n">
        <v>2</v>
      </c>
      <c r="AE76" s="20" t="n">
        <v>2</v>
      </c>
      <c r="AF76" s="20" t="n">
        <v>4</v>
      </c>
      <c r="AG76" s="20" t="n">
        <v>4</v>
      </c>
    </row>
    <row r="77">
      <c r="A77" s="7" t="str">
        <f>Secenekler!A77</f>
        <v>banner-post-b</v>
      </c>
      <c r="B77" s="7" t="str">
        <f>Secenekler!C77</f>
        <v>Sosyal görsel hizmet paketi (sabit kapsam)</v>
      </c>
      <c r="C77" s="20" t="n">
        <v>3</v>
      </c>
      <c r="D77" s="20" t="n">
        <v>3</v>
      </c>
      <c r="E77" s="20" t="n">
        <v>2</v>
      </c>
      <c r="F77" s="20" t="n">
        <v>3</v>
      </c>
      <c r="G77" s="20" t="n">
        <v>4</v>
      </c>
      <c r="H77" s="20" t="n">
        <v>1</v>
      </c>
      <c r="I77" s="20" t="n">
        <v>2</v>
      </c>
      <c r="J77" s="20" t="n">
        <v>1</v>
      </c>
      <c r="K77" s="20" t="n">
        <v>3</v>
      </c>
      <c r="L77" s="20" t="n">
        <v>1</v>
      </c>
      <c r="M77" s="20" t="n">
        <v>2</v>
      </c>
      <c r="N77" s="20" t="n">
        <v>2</v>
      </c>
      <c r="O77" s="5">
        <f>IF((Finans!K77+Finans!L77)/2&lt;14,5,IF((Finans!K77+Finans!L77)/2&lt;28,4,IF((Finans!K77+Finans!L77)/2&lt;=56,3,IF((Finans!K77+Finans!L77)/2&lt;=90,2,1))))</f>
        <v>3</v>
      </c>
      <c r="P77" s="5">
        <f>IF(Finans!I77/Hedef!$C$7&lt;1,5,IF(Finans!I77/Hedef!$C$7&lt;3,4,IF(Finans!I77/Hedef!$C$7&lt;=5,3,IF(Finans!I77/Hedef!$C$7&lt;=8,2,1))))</f>
        <v>4</v>
      </c>
      <c r="Q77" s="20" t="n">
        <v>3</v>
      </c>
      <c r="R77" s="20" t="n">
        <v>3</v>
      </c>
      <c r="S77" s="20" t="n">
        <v>2</v>
      </c>
      <c r="T77" s="20" t="n">
        <v>4</v>
      </c>
      <c r="U77" s="5">
        <f>IF(Finans!AI77&lt;=0,0,IF(Finans!AI77&lt;=5,5,IF(Finans!AI77&lt;10,4,IF(Finans!AI77&lt;=30,3,IF(Finans!AI77&lt;100,2,1)))))</f>
        <v>4</v>
      </c>
      <c r="V77" s="20" t="n">
        <v>5</v>
      </c>
      <c r="W77" s="20" t="n">
        <v>2</v>
      </c>
      <c r="X77" s="20" t="n">
        <v>3</v>
      </c>
      <c r="Y77" s="20" t="n">
        <v>2</v>
      </c>
      <c r="Z77" s="20" t="n">
        <v>1</v>
      </c>
      <c r="AA77" s="20" t="n">
        <v>4</v>
      </c>
      <c r="AB77" s="20" t="n">
        <v>3</v>
      </c>
      <c r="AD77" s="20" t="n">
        <v>2</v>
      </c>
      <c r="AE77" s="20" t="n">
        <v>1</v>
      </c>
      <c r="AF77" s="20" t="n">
        <v>1</v>
      </c>
      <c r="AG77" s="20" t="n">
        <v>3</v>
      </c>
    </row>
    <row r="78">
      <c r="A78" s="7" t="str">
        <f>Secenekler!A78</f>
        <v>banner-post-c</v>
      </c>
      <c r="B78" s="7" t="str">
        <f>Secenekler!C78</f>
        <v>Ajanslara toplu banner paketi (CSV)</v>
      </c>
      <c r="C78" s="20" t="n">
        <v>2</v>
      </c>
      <c r="D78" s="20" t="n">
        <v>3</v>
      </c>
      <c r="E78" s="20" t="n">
        <v>2</v>
      </c>
      <c r="F78" s="20" t="n">
        <v>3</v>
      </c>
      <c r="G78" s="20" t="n">
        <v>3</v>
      </c>
      <c r="H78" s="20" t="n">
        <v>1</v>
      </c>
      <c r="I78" s="20" t="n">
        <v>1</v>
      </c>
      <c r="J78" s="20" t="n">
        <v>2</v>
      </c>
      <c r="K78" s="20" t="n">
        <v>2</v>
      </c>
      <c r="L78" s="20" t="n">
        <v>2</v>
      </c>
      <c r="M78" s="20" t="n">
        <v>2</v>
      </c>
      <c r="N78" s="20" t="n">
        <v>2</v>
      </c>
      <c r="O78" s="5">
        <f>IF((Finans!K78+Finans!L78)/2&lt;14,5,IF((Finans!K78+Finans!L78)/2&lt;28,4,IF((Finans!K78+Finans!L78)/2&lt;=56,3,IF((Finans!K78+Finans!L78)/2&lt;=90,2,1))))</f>
        <v>3</v>
      </c>
      <c r="P78" s="5">
        <f>IF(Finans!I78/Hedef!$C$7&lt;1,5,IF(Finans!I78/Hedef!$C$7&lt;3,4,IF(Finans!I78/Hedef!$C$7&lt;=5,3,IF(Finans!I78/Hedef!$C$7&lt;=8,2,1))))</f>
        <v>4</v>
      </c>
      <c r="Q78" s="20" t="n">
        <v>2</v>
      </c>
      <c r="R78" s="20" t="n">
        <v>2</v>
      </c>
      <c r="S78" s="20" t="n">
        <v>1</v>
      </c>
      <c r="T78" s="20" t="n">
        <v>3</v>
      </c>
      <c r="U78" s="5">
        <f>IF(Finans!AI78&lt;=0,0,IF(Finans!AI78&lt;=5,5,IF(Finans!AI78&lt;10,4,IF(Finans!AI78&lt;=30,3,IF(Finans!AI78&lt;100,2,1)))))</f>
        <v>3</v>
      </c>
      <c r="V78" s="20" t="n">
        <v>2</v>
      </c>
      <c r="W78" s="20" t="n">
        <v>2</v>
      </c>
      <c r="X78" s="20" t="n">
        <v>2</v>
      </c>
      <c r="Y78" s="20" t="n">
        <v>2</v>
      </c>
      <c r="Z78" s="20" t="n">
        <v>2</v>
      </c>
      <c r="AA78" s="20" t="n">
        <v>3</v>
      </c>
      <c r="AB78" s="20" t="n">
        <v>3</v>
      </c>
      <c r="AD78" s="20" t="n">
        <v>2</v>
      </c>
      <c r="AE78" s="20" t="n">
        <v>1</v>
      </c>
      <c r="AF78" s="20" t="n">
        <v>2</v>
      </c>
      <c r="AG78" s="20" t="n">
        <v>2</v>
      </c>
    </row>
    <row r="79">
      <c r="A79" s="7" t="str">
        <f>Secenekler!A79</f>
        <v>karar-sihirbazi-a</v>
      </c>
      <c r="B79" s="7" t="str">
        <f>Secenekler!C79</f>
        <v>Ajanslara white-label keşif sihirbazı aboneliği</v>
      </c>
      <c r="C79" s="20" t="n">
        <v>3</v>
      </c>
      <c r="D79" s="20" t="n">
        <v>3</v>
      </c>
      <c r="E79" s="20" t="n">
        <v>2</v>
      </c>
      <c r="F79" s="20" t="n">
        <v>3</v>
      </c>
      <c r="G79" s="20" t="n">
        <v>4</v>
      </c>
      <c r="H79" s="20" t="n">
        <v>2</v>
      </c>
      <c r="I79" s="20" t="n">
        <v>2</v>
      </c>
      <c r="J79" s="20" t="n">
        <v>2</v>
      </c>
      <c r="K79" s="20" t="n">
        <v>2</v>
      </c>
      <c r="L79" s="20" t="n">
        <v>2</v>
      </c>
      <c r="M79" s="20" t="n">
        <v>3</v>
      </c>
      <c r="N79" s="20" t="n">
        <v>3</v>
      </c>
      <c r="O79" s="5">
        <f>IF((Finans!K79+Finans!L79)/2&lt;14,5,IF((Finans!K79+Finans!L79)/2&lt;28,4,IF((Finans!K79+Finans!L79)/2&lt;=56,3,IF((Finans!K79+Finans!L79)/2&lt;=90,2,1))))</f>
        <v>1</v>
      </c>
      <c r="P79" s="5">
        <f>IF(Finans!I79/Hedef!$C$7&lt;1,5,IF(Finans!I79/Hedef!$C$7&lt;3,4,IF(Finans!I79/Hedef!$C$7&lt;=5,3,IF(Finans!I79/Hedef!$C$7&lt;=8,2,1))))</f>
        <v>1</v>
      </c>
      <c r="Q79" s="20" t="n">
        <v>2</v>
      </c>
      <c r="R79" s="20" t="n">
        <v>3</v>
      </c>
      <c r="S79" s="20" t="n">
        <v>2</v>
      </c>
      <c r="T79" s="20" t="n">
        <v>3</v>
      </c>
      <c r="U79" s="5">
        <f>IF(Finans!AI79&lt;=0,0,IF(Finans!AI79&lt;=5,5,IF(Finans!AI79&lt;10,4,IF(Finans!AI79&lt;=30,3,IF(Finans!AI79&lt;100,2,1)))))</f>
        <v>2</v>
      </c>
      <c r="V79" s="20" t="n">
        <v>4</v>
      </c>
      <c r="W79" s="20" t="n">
        <v>3</v>
      </c>
      <c r="X79" s="20" t="n">
        <v>3</v>
      </c>
      <c r="Y79" s="20" t="n">
        <v>2</v>
      </c>
      <c r="Z79" s="20" t="n">
        <v>3</v>
      </c>
      <c r="AA79" s="20" t="n">
        <v>3</v>
      </c>
      <c r="AB79" s="20" t="n">
        <v>3</v>
      </c>
      <c r="AD79" s="20" t="n">
        <v>2</v>
      </c>
      <c r="AE79" s="20" t="n">
        <v>1</v>
      </c>
      <c r="AF79" s="20" t="n">
        <v>4</v>
      </c>
      <c r="AG79" s="20" t="n">
        <v>3</v>
      </c>
    </row>
    <row r="80">
      <c r="A80" s="7" t="str">
        <f>Secenekler!A80</f>
        <v>karar-sihirbazi-b</v>
      </c>
      <c r="B80" s="7" t="str">
        <f>Secenekler!C80</f>
        <v>Proje başı stack karar dosyası (sabit kapsamlı hizmet)</v>
      </c>
      <c r="C80" s="20" t="n">
        <v>3</v>
      </c>
      <c r="D80" s="20" t="n">
        <v>2</v>
      </c>
      <c r="E80" s="20" t="n">
        <v>2</v>
      </c>
      <c r="F80" s="20" t="n">
        <v>3</v>
      </c>
      <c r="G80" s="20" t="n">
        <v>3</v>
      </c>
      <c r="H80" s="20" t="n">
        <v>1</v>
      </c>
      <c r="I80" s="20" t="n">
        <v>2</v>
      </c>
      <c r="J80" s="20" t="n">
        <v>1</v>
      </c>
      <c r="K80" s="20" t="n">
        <v>3</v>
      </c>
      <c r="L80" s="20" t="n">
        <v>2</v>
      </c>
      <c r="M80" s="20" t="n">
        <v>3</v>
      </c>
      <c r="N80" s="20" t="n">
        <v>3</v>
      </c>
      <c r="O80" s="5">
        <f>IF((Finans!K80+Finans!L80)/2&lt;14,5,IF((Finans!K80+Finans!L80)/2&lt;28,4,IF((Finans!K80+Finans!L80)/2&lt;=56,3,IF((Finans!K80+Finans!L80)/2&lt;=90,2,1))))</f>
        <v>3</v>
      </c>
      <c r="P80" s="5">
        <f>IF(Finans!I80/Hedef!$C$7&lt;1,5,IF(Finans!I80/Hedef!$C$7&lt;3,4,IF(Finans!I80/Hedef!$C$7&lt;=5,3,IF(Finans!I80/Hedef!$C$7&lt;=8,2,1))))</f>
        <v>4</v>
      </c>
      <c r="Q80" s="20" t="n">
        <v>3</v>
      </c>
      <c r="R80" s="20" t="n">
        <v>3</v>
      </c>
      <c r="S80" s="20" t="n">
        <v>2</v>
      </c>
      <c r="T80" s="20" t="n">
        <v>4</v>
      </c>
      <c r="U80" s="5">
        <f>IF(Finans!AI80&lt;=0,0,IF(Finans!AI80&lt;=5,5,IF(Finans!AI80&lt;10,4,IF(Finans!AI80&lt;=30,3,IF(Finans!AI80&lt;100,2,1)))))</f>
        <v>3</v>
      </c>
      <c r="V80" s="20" t="n">
        <v>3</v>
      </c>
      <c r="W80" s="20" t="n">
        <v>2</v>
      </c>
      <c r="X80" s="20" t="n">
        <v>3</v>
      </c>
      <c r="Y80" s="20" t="n">
        <v>2</v>
      </c>
      <c r="Z80" s="20" t="n">
        <v>2</v>
      </c>
      <c r="AA80" s="20" t="n">
        <v>3</v>
      </c>
      <c r="AB80" s="20" t="n">
        <v>4</v>
      </c>
      <c r="AD80" s="20" t="n">
        <v>2</v>
      </c>
      <c r="AE80" s="20" t="n">
        <v>1</v>
      </c>
      <c r="AF80" s="20" t="n">
        <v>1</v>
      </c>
      <c r="AG80" s="20" t="n">
        <v>3</v>
      </c>
    </row>
    <row r="81">
      <c r="A81" s="7" t="str">
        <f>Secenekler!A81</f>
        <v>karar-sihirbazi-c</v>
      </c>
      <c r="B81" s="7" t="str">
        <f>Secenekler!C81</f>
        <v>Ajans için uyarlanmış keşif formu kiti (tek seferlik)</v>
      </c>
      <c r="C81" s="20" t="n">
        <v>3</v>
      </c>
      <c r="D81" s="20" t="n">
        <v>2</v>
      </c>
      <c r="E81" s="20" t="n">
        <v>2</v>
      </c>
      <c r="F81" s="20" t="n">
        <v>3</v>
      </c>
      <c r="G81" s="20" t="n">
        <v>4</v>
      </c>
      <c r="H81" s="20" t="n">
        <v>1</v>
      </c>
      <c r="I81" s="20" t="n">
        <v>2</v>
      </c>
      <c r="J81" s="20" t="n">
        <v>2</v>
      </c>
      <c r="K81" s="20" t="n">
        <v>2</v>
      </c>
      <c r="L81" s="20" t="n">
        <v>2</v>
      </c>
      <c r="M81" s="20" t="n">
        <v>3</v>
      </c>
      <c r="N81" s="20" t="n">
        <v>3</v>
      </c>
      <c r="O81" s="5">
        <f>IF((Finans!K81+Finans!L81)/2&lt;14,5,IF((Finans!K81+Finans!L81)/2&lt;28,4,IF((Finans!K81+Finans!L81)/2&lt;=56,3,IF((Finans!K81+Finans!L81)/2&lt;=90,2,1))))</f>
        <v>2</v>
      </c>
      <c r="P81" s="5">
        <f>IF(Finans!I81/Hedef!$C$7&lt;1,5,IF(Finans!I81/Hedef!$C$7&lt;3,4,IF(Finans!I81/Hedef!$C$7&lt;=5,3,IF(Finans!I81/Hedef!$C$7&lt;=8,2,1))))</f>
        <v>2</v>
      </c>
      <c r="Q81" s="20" t="n">
        <v>3</v>
      </c>
      <c r="R81" s="20" t="n">
        <v>3</v>
      </c>
      <c r="S81" s="20" t="n">
        <v>2</v>
      </c>
      <c r="T81" s="20" t="n">
        <v>4</v>
      </c>
      <c r="U81" s="5">
        <f>IF(Finans!AI81&lt;=0,0,IF(Finans!AI81&lt;=5,5,IF(Finans!AI81&lt;10,4,IF(Finans!AI81&lt;=30,3,IF(Finans!AI81&lt;100,2,1)))))</f>
        <v>2</v>
      </c>
      <c r="V81" s="20" t="n">
        <v>1</v>
      </c>
      <c r="W81" s="20" t="n">
        <v>1</v>
      </c>
      <c r="X81" s="20" t="n">
        <v>3</v>
      </c>
      <c r="Y81" s="20" t="n">
        <v>1</v>
      </c>
      <c r="Z81" s="20" t="n">
        <v>3</v>
      </c>
      <c r="AA81" s="20" t="n">
        <v>4</v>
      </c>
      <c r="AB81" s="20" t="n">
        <v>3</v>
      </c>
      <c r="AD81" s="20" t="n">
        <v>2</v>
      </c>
      <c r="AE81" s="20" t="n">
        <v>1</v>
      </c>
      <c r="AF81" s="20" t="n">
        <v>2</v>
      </c>
      <c r="AG81" s="20" t="n">
        <v>3</v>
      </c>
    </row>
    <row r="82">
      <c r="A82" s="7" t="str">
        <f>Secenekler!A82</f>
        <v>sunum-bi-hizmeti-a</v>
      </c>
      <c r="B82" s="7" t="str">
        <f>Secenekler!C82</f>
        <v>Katalogdan toplu markalı sunum seti (sabit paket)</v>
      </c>
      <c r="C82" s="20" t="n">
        <v>3</v>
      </c>
      <c r="D82" s="20" t="n">
        <v>3</v>
      </c>
      <c r="E82" s="20" t="n">
        <v>2</v>
      </c>
      <c r="F82" s="20" t="n">
        <v>3</v>
      </c>
      <c r="G82" s="20" t="n">
        <v>3</v>
      </c>
      <c r="H82" s="20" t="n">
        <v>1</v>
      </c>
      <c r="I82" s="20" t="n">
        <v>3</v>
      </c>
      <c r="J82" s="20" t="n">
        <v>2</v>
      </c>
      <c r="K82" s="20" t="n">
        <v>3</v>
      </c>
      <c r="L82" s="20" t="n">
        <v>2</v>
      </c>
      <c r="M82" s="20" t="n">
        <v>3</v>
      </c>
      <c r="N82" s="20" t="n">
        <v>3</v>
      </c>
      <c r="O82" s="5">
        <f>IF((Finans!K82+Finans!L82)/2&lt;14,5,IF((Finans!K82+Finans!L82)/2&lt;28,4,IF((Finans!K82+Finans!L82)/2&lt;=56,3,IF((Finans!K82+Finans!L82)/2&lt;=90,2,1))))</f>
        <v>2</v>
      </c>
      <c r="P82" s="5">
        <f>IF(Finans!I82/Hedef!$C$7&lt;1,5,IF(Finans!I82/Hedef!$C$7&lt;3,4,IF(Finans!I82/Hedef!$C$7&lt;=5,3,IF(Finans!I82/Hedef!$C$7&lt;=8,2,1))))</f>
        <v>2</v>
      </c>
      <c r="Q82" s="20" t="n">
        <v>3</v>
      </c>
      <c r="R82" s="20" t="n">
        <v>3</v>
      </c>
      <c r="S82" s="20" t="n">
        <v>2</v>
      </c>
      <c r="T82" s="20" t="n">
        <v>4</v>
      </c>
      <c r="U82" s="5">
        <f>IF(Finans!AI82&lt;=0,0,IF(Finans!AI82&lt;=5,5,IF(Finans!AI82&lt;10,4,IF(Finans!AI82&lt;=30,3,IF(Finans!AI82&lt;100,2,1)))))</f>
        <v>3</v>
      </c>
      <c r="V82" s="20" t="n">
        <v>3</v>
      </c>
      <c r="W82" s="20" t="n">
        <v>3</v>
      </c>
      <c r="X82" s="20" t="n">
        <v>3</v>
      </c>
      <c r="Y82" s="20" t="n">
        <v>2</v>
      </c>
      <c r="Z82" s="20" t="n">
        <v>2</v>
      </c>
      <c r="AA82" s="20" t="n">
        <v>3</v>
      </c>
      <c r="AB82" s="20" t="n">
        <v>3</v>
      </c>
      <c r="AD82" s="20" t="n">
        <v>2</v>
      </c>
      <c r="AE82" s="20" t="n">
        <v>1</v>
      </c>
      <c r="AF82" s="20" t="n">
        <v>2</v>
      </c>
      <c r="AG82" s="20" t="n">
        <v>3</v>
      </c>
    </row>
    <row r="83">
      <c r="A83" s="7" t="str">
        <f>Secenekler!A83</f>
        <v>sunum-bi-hizmeti-b</v>
      </c>
      <c r="B83" s="7" t="str">
        <f>Secenekler!C83</f>
        <v>Butik ajanslara çok markalı sunum üretim aboneliği</v>
      </c>
      <c r="C83" s="20" t="n">
        <v>3</v>
      </c>
      <c r="D83" s="20" t="n">
        <v>4</v>
      </c>
      <c r="E83" s="20" t="n">
        <v>2</v>
      </c>
      <c r="F83" s="20" t="n">
        <v>3</v>
      </c>
      <c r="G83" s="20" t="n">
        <v>4</v>
      </c>
      <c r="H83" s="20" t="n">
        <v>1</v>
      </c>
      <c r="I83" s="20" t="n">
        <v>1</v>
      </c>
      <c r="J83" s="20" t="n">
        <v>1</v>
      </c>
      <c r="K83" s="20" t="n">
        <v>3</v>
      </c>
      <c r="L83" s="20" t="n">
        <v>2</v>
      </c>
      <c r="M83" s="20" t="n">
        <v>3</v>
      </c>
      <c r="N83" s="20" t="n">
        <v>3</v>
      </c>
      <c r="O83" s="5">
        <f>IF((Finans!K83+Finans!L83)/2&lt;14,5,IF((Finans!K83+Finans!L83)/2&lt;28,4,IF((Finans!K83+Finans!L83)/2&lt;=56,3,IF((Finans!K83+Finans!L83)/2&lt;=90,2,1))))</f>
        <v>2</v>
      </c>
      <c r="P83" s="5">
        <f>IF(Finans!I83/Hedef!$C$7&lt;1,5,IF(Finans!I83/Hedef!$C$7&lt;3,4,IF(Finans!I83/Hedef!$C$7&lt;=5,3,IF(Finans!I83/Hedef!$C$7&lt;=8,2,1))))</f>
        <v>2</v>
      </c>
      <c r="Q83" s="20" t="n">
        <v>3</v>
      </c>
      <c r="R83" s="20" t="n">
        <v>3</v>
      </c>
      <c r="S83" s="20" t="n">
        <v>2</v>
      </c>
      <c r="T83" s="20" t="n">
        <v>3</v>
      </c>
      <c r="U83" s="5">
        <f>IF(Finans!AI83&lt;=0,0,IF(Finans!AI83&lt;=5,5,IF(Finans!AI83&lt;10,4,IF(Finans!AI83&lt;=30,3,IF(Finans!AI83&lt;100,2,1)))))</f>
        <v>3</v>
      </c>
      <c r="V83" s="20" t="n">
        <v>5</v>
      </c>
      <c r="W83" s="20" t="n">
        <v>3</v>
      </c>
      <c r="X83" s="20" t="n">
        <v>2</v>
      </c>
      <c r="Y83" s="20" t="n">
        <v>2</v>
      </c>
      <c r="Z83" s="20" t="n">
        <v>2</v>
      </c>
      <c r="AA83" s="20" t="n">
        <v>3</v>
      </c>
      <c r="AB83" s="20" t="n">
        <v>2</v>
      </c>
      <c r="AD83" s="20" t="n">
        <v>2</v>
      </c>
      <c r="AE83" s="20" t="n">
        <v>1</v>
      </c>
      <c r="AF83" s="20" t="n">
        <v>3</v>
      </c>
      <c r="AG83" s="20" t="n">
        <v>3</v>
      </c>
    </row>
    <row r="84">
      <c r="A84" s="7" t="str">
        <f>Secenekler!A84</f>
        <v>sunum-bi-hizmeti-c</v>
      </c>
      <c r="B84" s="7" t="str">
        <f>Secenekler!C84</f>
        <v>Danışmana tek kaynaktan yönetici karar dosyası üretimi</v>
      </c>
      <c r="C84" s="20" t="n">
        <v>2</v>
      </c>
      <c r="D84" s="20" t="n">
        <v>3</v>
      </c>
      <c r="E84" s="20" t="n">
        <v>2</v>
      </c>
      <c r="F84" s="20" t="n">
        <v>3</v>
      </c>
      <c r="G84" s="20" t="n">
        <v>4</v>
      </c>
      <c r="H84" s="20" t="n">
        <v>1</v>
      </c>
      <c r="I84" s="20" t="n">
        <v>1</v>
      </c>
      <c r="J84" s="20" t="n">
        <v>2</v>
      </c>
      <c r="K84" s="20" t="n">
        <v>2</v>
      </c>
      <c r="L84" s="20" t="n">
        <v>2</v>
      </c>
      <c r="M84" s="20" t="n">
        <v>2</v>
      </c>
      <c r="N84" s="20" t="n">
        <v>2</v>
      </c>
      <c r="O84" s="5">
        <f>IF((Finans!K84+Finans!L84)/2&lt;14,5,IF((Finans!K84+Finans!L84)/2&lt;28,4,IF((Finans!K84+Finans!L84)/2&lt;=56,3,IF((Finans!K84+Finans!L84)/2&lt;=90,2,1))))</f>
        <v>3</v>
      </c>
      <c r="P84" s="5">
        <f>IF(Finans!I84/Hedef!$C$7&lt;1,5,IF(Finans!I84/Hedef!$C$7&lt;3,4,IF(Finans!I84/Hedef!$C$7&lt;=5,3,IF(Finans!I84/Hedef!$C$7&lt;=8,2,1))))</f>
        <v>4</v>
      </c>
      <c r="Q84" s="20" t="n">
        <v>3</v>
      </c>
      <c r="R84" s="20" t="n">
        <v>3</v>
      </c>
      <c r="S84" s="20" t="n">
        <v>2</v>
      </c>
      <c r="T84" s="20" t="n">
        <v>3</v>
      </c>
      <c r="U84" s="5">
        <f>IF(Finans!AI84&lt;=0,0,IF(Finans!AI84&lt;=5,5,IF(Finans!AI84&lt;10,4,IF(Finans!AI84&lt;=30,3,IF(Finans!AI84&lt;100,2,1)))))</f>
        <v>3</v>
      </c>
      <c r="V84" s="20" t="n">
        <v>3</v>
      </c>
      <c r="W84" s="20" t="n">
        <v>2</v>
      </c>
      <c r="X84" s="20" t="n">
        <v>2</v>
      </c>
      <c r="Y84" s="20" t="n">
        <v>2</v>
      </c>
      <c r="Z84" s="20" t="n">
        <v>2</v>
      </c>
      <c r="AA84" s="20" t="n">
        <v>3</v>
      </c>
      <c r="AB84" s="20" t="n">
        <v>3</v>
      </c>
      <c r="AD84" s="20" t="n">
        <v>2</v>
      </c>
      <c r="AE84" s="20" t="n">
        <v>1</v>
      </c>
      <c r="AF84" s="20" t="n">
        <v>2</v>
      </c>
      <c r="AG84" s="20" t="n">
        <v>2</v>
      </c>
    </row>
    <row r="85">
      <c r="A85" s="7" t="str">
        <f>Secenekler!A85</f>
        <v>ik-paneli-hizmeti-a</v>
      </c>
      <c r="B85" s="7" t="str">
        <f>Secenekler!C85</f>
        <v>SaaS satış demosu 7 günde (sabit paket)</v>
      </c>
      <c r="C85" s="20" t="n">
        <v>3</v>
      </c>
      <c r="D85" s="20" t="n">
        <v>3</v>
      </c>
      <c r="E85" s="20" t="n">
        <v>3</v>
      </c>
      <c r="F85" s="20" t="n">
        <v>4</v>
      </c>
      <c r="G85" s="20" t="n">
        <v>4</v>
      </c>
      <c r="H85" s="20" t="n">
        <v>2</v>
      </c>
      <c r="I85" s="20" t="n">
        <v>2</v>
      </c>
      <c r="J85" s="20" t="n">
        <v>2</v>
      </c>
      <c r="K85" s="20" t="n">
        <v>3</v>
      </c>
      <c r="L85" s="20" t="n">
        <v>2</v>
      </c>
      <c r="M85" s="20" t="n">
        <v>3</v>
      </c>
      <c r="N85" s="20" t="n">
        <v>3</v>
      </c>
      <c r="O85" s="5">
        <f>IF((Finans!K85+Finans!L85)/2&lt;14,5,IF((Finans!K85+Finans!L85)/2&lt;28,4,IF((Finans!K85+Finans!L85)/2&lt;=56,3,IF((Finans!K85+Finans!L85)/2&lt;=90,2,1))))</f>
        <v>2</v>
      </c>
      <c r="P85" s="5">
        <f>IF(Finans!I85/Hedef!$C$7&lt;1,5,IF(Finans!I85/Hedef!$C$7&lt;3,4,IF(Finans!I85/Hedef!$C$7&lt;=5,3,IF(Finans!I85/Hedef!$C$7&lt;=8,2,1))))</f>
        <v>2</v>
      </c>
      <c r="Q85" s="20" t="n">
        <v>3</v>
      </c>
      <c r="R85" s="20" t="n">
        <v>3</v>
      </c>
      <c r="S85" s="20" t="n">
        <v>2</v>
      </c>
      <c r="T85" s="20" t="n">
        <v>4</v>
      </c>
      <c r="U85" s="5">
        <f>IF(Finans!AI85&lt;=0,0,IF(Finans!AI85&lt;=5,5,IF(Finans!AI85&lt;10,4,IF(Finans!AI85&lt;=30,3,IF(Finans!AI85&lt;100,2,1)))))</f>
        <v>5</v>
      </c>
      <c r="V85" s="20" t="n">
        <v>2</v>
      </c>
      <c r="W85" s="20" t="n">
        <v>3</v>
      </c>
      <c r="X85" s="20" t="n">
        <v>3</v>
      </c>
      <c r="Y85" s="20" t="n">
        <v>2</v>
      </c>
      <c r="Z85" s="20" t="n">
        <v>2</v>
      </c>
      <c r="AA85" s="20" t="n">
        <v>4</v>
      </c>
      <c r="AB85" s="20" t="n">
        <v>3</v>
      </c>
      <c r="AD85" s="20" t="n">
        <v>2</v>
      </c>
      <c r="AE85" s="20" t="n">
        <v>1</v>
      </c>
      <c r="AF85" s="20" t="n">
        <v>2</v>
      </c>
      <c r="AG85" s="20" t="n">
        <v>4</v>
      </c>
    </row>
    <row r="86">
      <c r="A86" s="7" t="str">
        <f>Secenekler!A86</f>
        <v>ik-paneli-hizmeti-b</v>
      </c>
      <c r="B86" s="7" t="str">
        <f>Secenekler!C86</f>
        <v>Ajanslara beyaz etiket aylık demo paketi</v>
      </c>
      <c r="C86" s="20" t="n">
        <v>3</v>
      </c>
      <c r="D86" s="20" t="n">
        <v>3</v>
      </c>
      <c r="E86" s="20" t="n">
        <v>2</v>
      </c>
      <c r="F86" s="20" t="n">
        <v>3</v>
      </c>
      <c r="G86" s="20" t="n">
        <v>3</v>
      </c>
      <c r="H86" s="20" t="n">
        <v>1</v>
      </c>
      <c r="I86" s="20" t="n">
        <v>1</v>
      </c>
      <c r="J86" s="20" t="n">
        <v>1</v>
      </c>
      <c r="K86" s="20" t="n">
        <v>3</v>
      </c>
      <c r="L86" s="20" t="n">
        <v>1</v>
      </c>
      <c r="M86" s="20" t="n">
        <v>2</v>
      </c>
      <c r="N86" s="20" t="n">
        <v>3</v>
      </c>
      <c r="O86" s="5">
        <f>IF((Finans!K86+Finans!L86)/2&lt;14,5,IF((Finans!K86+Finans!L86)/2&lt;28,4,IF((Finans!K86+Finans!L86)/2&lt;=56,3,IF((Finans!K86+Finans!L86)/2&lt;=90,2,1))))</f>
        <v>2</v>
      </c>
      <c r="P86" s="5">
        <f>IF(Finans!I86/Hedef!$C$7&lt;1,5,IF(Finans!I86/Hedef!$C$7&lt;3,4,IF(Finans!I86/Hedef!$C$7&lt;=5,3,IF(Finans!I86/Hedef!$C$7&lt;=8,2,1))))</f>
        <v>2</v>
      </c>
      <c r="Q86" s="20" t="n">
        <v>3</v>
      </c>
      <c r="R86" s="20" t="n">
        <v>3</v>
      </c>
      <c r="S86" s="20" t="n">
        <v>2</v>
      </c>
      <c r="T86" s="20" t="n">
        <v>4</v>
      </c>
      <c r="U86" s="5">
        <f>IF(Finans!AI86&lt;=0,0,IF(Finans!AI86&lt;=5,5,IF(Finans!AI86&lt;10,4,IF(Finans!AI86&lt;=30,3,IF(Finans!AI86&lt;100,2,1)))))</f>
        <v>4</v>
      </c>
      <c r="V86" s="20" t="n">
        <v>4</v>
      </c>
      <c r="W86" s="20" t="n">
        <v>3</v>
      </c>
      <c r="X86" s="20" t="n">
        <v>3</v>
      </c>
      <c r="Y86" s="20" t="n">
        <v>2</v>
      </c>
      <c r="Z86" s="20" t="n">
        <v>2</v>
      </c>
      <c r="AA86" s="20" t="n">
        <v>4</v>
      </c>
      <c r="AB86" s="20" t="n">
        <v>3</v>
      </c>
      <c r="AD86" s="20" t="n">
        <v>2</v>
      </c>
      <c r="AE86" s="20" t="n">
        <v>1</v>
      </c>
      <c r="AF86" s="20" t="n">
        <v>2</v>
      </c>
      <c r="AG86" s="20" t="n">
        <v>3</v>
      </c>
    </row>
    <row r="87">
      <c r="A87" s="7" t="str">
        <f>Secenekler!A87</f>
        <v>ik-paneli-hizmeti-c</v>
      </c>
      <c r="B87" s="7" t="str">
        <f>Secenekler!C87</f>
        <v>Puantaj mutabakatı kurulum ve dönem hizmeti</v>
      </c>
      <c r="C87" s="20" t="n">
        <v>3</v>
      </c>
      <c r="D87" s="20" t="n">
        <v>5</v>
      </c>
      <c r="E87" s="20" t="n">
        <v>3</v>
      </c>
      <c r="F87" s="20" t="n">
        <v>3</v>
      </c>
      <c r="G87" s="20" t="n">
        <v>2</v>
      </c>
      <c r="H87" s="20" t="n">
        <v>1</v>
      </c>
      <c r="I87" s="20" t="n">
        <v>1</v>
      </c>
      <c r="J87" s="20" t="n">
        <v>2</v>
      </c>
      <c r="K87" s="20" t="n">
        <v>2</v>
      </c>
      <c r="L87" s="20" t="n">
        <v>1</v>
      </c>
      <c r="M87" s="20" t="n">
        <v>3</v>
      </c>
      <c r="N87" s="20" t="n">
        <v>2</v>
      </c>
      <c r="O87" s="5">
        <f>IF((Finans!K87+Finans!L87)/2&lt;14,5,IF((Finans!K87+Finans!L87)/2&lt;28,4,IF((Finans!K87+Finans!L87)/2&lt;=56,3,IF((Finans!K87+Finans!L87)/2&lt;=90,2,1))))</f>
        <v>1</v>
      </c>
      <c r="P87" s="5">
        <f>IF(Finans!I87/Hedef!$C$7&lt;1,5,IF(Finans!I87/Hedef!$C$7&lt;3,4,IF(Finans!I87/Hedef!$C$7&lt;=5,3,IF(Finans!I87/Hedef!$C$7&lt;=8,2,1))))</f>
        <v>1</v>
      </c>
      <c r="Q87" s="20" t="n">
        <v>2</v>
      </c>
      <c r="R87" s="20" t="n">
        <v>2</v>
      </c>
      <c r="S87" s="20" t="n">
        <v>1</v>
      </c>
      <c r="T87" s="20" t="n">
        <v>2</v>
      </c>
      <c r="U87" s="5">
        <f>IF(Finans!AI87&lt;=0,0,IF(Finans!AI87&lt;=5,5,IF(Finans!AI87&lt;10,4,IF(Finans!AI87&lt;=30,3,IF(Finans!AI87&lt;100,2,1)))))</f>
        <v>3</v>
      </c>
      <c r="V87" s="20" t="n">
        <v>5</v>
      </c>
      <c r="W87" s="20" t="n">
        <v>4</v>
      </c>
      <c r="X87" s="20" t="n">
        <v>1</v>
      </c>
      <c r="Y87" s="20" t="n">
        <v>2</v>
      </c>
      <c r="Z87" s="20" t="n">
        <v>2</v>
      </c>
      <c r="AA87" s="20" t="n">
        <v>2</v>
      </c>
      <c r="AB87" s="20" t="n">
        <v>2</v>
      </c>
      <c r="AD87" s="20" t="n"/>
      <c r="AE87" s="20" t="n">
        <v>2</v>
      </c>
      <c r="AF87" s="20" t="n">
        <v>3</v>
      </c>
      <c r="AG87" s="20" t="n">
        <v>2</v>
      </c>
    </row>
    <row r="88">
      <c r="A88" s="7" t="str">
        <f>Secenekler!A88</f>
        <v>ddd-renderer-a</v>
      </c>
      <c r="B88" s="7" t="str">
        <f>Secenekler!C88</f>
        <v>E-kitap eki: 3 mimari şablonlu paket (149 ₺)</v>
      </c>
      <c r="C88" s="20" t="n">
        <v>2</v>
      </c>
      <c r="D88" s="20" t="n">
        <v>2</v>
      </c>
      <c r="E88" s="20" t="n">
        <v>2</v>
      </c>
      <c r="F88" s="20" t="n">
        <v>2</v>
      </c>
      <c r="G88" s="20" t="n">
        <v>5</v>
      </c>
      <c r="H88" s="20" t="n">
        <v>1</v>
      </c>
      <c r="I88" s="20" t="n">
        <v>2</v>
      </c>
      <c r="J88" s="20" t="n">
        <v>2</v>
      </c>
      <c r="K88" s="20" t="n">
        <v>3</v>
      </c>
      <c r="L88" s="20" t="n">
        <v>2</v>
      </c>
      <c r="M88" s="20" t="n">
        <v>3</v>
      </c>
      <c r="N88" s="20" t="n">
        <v>2</v>
      </c>
      <c r="O88" s="5">
        <f>IF((Finans!K88+Finans!L88)/2&lt;14,5,IF((Finans!K88+Finans!L88)/2&lt;28,4,IF((Finans!K88+Finans!L88)/2&lt;=56,3,IF((Finans!K88+Finans!L88)/2&lt;=90,2,1))))</f>
        <v>2</v>
      </c>
      <c r="P88" s="5">
        <f>IF(Finans!I88/Hedef!$C$7&lt;1,5,IF(Finans!I88/Hedef!$C$7&lt;3,4,IF(Finans!I88/Hedef!$C$7&lt;=5,3,IF(Finans!I88/Hedef!$C$7&lt;=8,2,1))))</f>
        <v>3</v>
      </c>
      <c r="Q88" s="20" t="n">
        <v>5</v>
      </c>
      <c r="R88" s="20" t="n">
        <v>3</v>
      </c>
      <c r="S88" s="20" t="n">
        <v>4</v>
      </c>
      <c r="T88" s="20" t="n">
        <v>4</v>
      </c>
      <c r="U88" s="5">
        <f>IF(Finans!AI88&lt;=0,0,IF(Finans!AI88&lt;=5,5,IF(Finans!AI88&lt;10,4,IF(Finans!AI88&lt;=30,3,IF(Finans!AI88&lt;100,2,1)))))</f>
        <v>1</v>
      </c>
      <c r="V88" s="20" t="n">
        <v>1</v>
      </c>
      <c r="W88" s="20" t="n">
        <v>1</v>
      </c>
      <c r="X88" s="20" t="n">
        <v>3</v>
      </c>
      <c r="Y88" s="20" t="n">
        <v>2</v>
      </c>
      <c r="Z88" s="20" t="n">
        <v>4</v>
      </c>
      <c r="AA88" s="20" t="n">
        <v>5</v>
      </c>
      <c r="AB88" s="20" t="n">
        <v>5</v>
      </c>
      <c r="AD88" s="20" t="n">
        <v>1</v>
      </c>
      <c r="AE88" s="20" t="n">
        <v>1</v>
      </c>
      <c r="AF88" s="20" t="n">
        <v>4</v>
      </c>
      <c r="AG88" s="20" t="n">
        <v>4</v>
      </c>
    </row>
    <row r="89">
      <c r="A89" s="7" t="str">
        <f>Secenekler!A89</f>
        <v>ddd-renderer-b</v>
      </c>
      <c r="B89" s="7" t="str">
        <f>Secenekler!C89</f>
        <v>Uluslararası şablon paketleri (29-79 $) açık çekirdekle</v>
      </c>
      <c r="C89" s="20" t="n">
        <v>2</v>
      </c>
      <c r="D89" s="20" t="n">
        <v>3</v>
      </c>
      <c r="E89" s="20" t="n">
        <v>3</v>
      </c>
      <c r="F89" s="20" t="n">
        <v>3</v>
      </c>
      <c r="G89" s="20" t="n">
        <v>4</v>
      </c>
      <c r="H89" s="20" t="n">
        <v>2</v>
      </c>
      <c r="I89" s="20" t="n">
        <v>1</v>
      </c>
      <c r="J89" s="20" t="n">
        <v>3</v>
      </c>
      <c r="K89" s="20" t="n">
        <v>3</v>
      </c>
      <c r="L89" s="20" t="n">
        <v>2</v>
      </c>
      <c r="M89" s="20" t="n">
        <v>2</v>
      </c>
      <c r="N89" s="20" t="n">
        <v>3</v>
      </c>
      <c r="O89" s="5">
        <f>IF((Finans!K89+Finans!L89)/2&lt;14,5,IF((Finans!K89+Finans!L89)/2&lt;28,4,IF((Finans!K89+Finans!L89)/2&lt;=56,3,IF((Finans!K89+Finans!L89)/2&lt;=90,2,1))))</f>
        <v>1</v>
      </c>
      <c r="P89" s="5">
        <f>IF(Finans!I89/Hedef!$C$7&lt;1,5,IF(Finans!I89/Hedef!$C$7&lt;3,4,IF(Finans!I89/Hedef!$C$7&lt;=5,3,IF(Finans!I89/Hedef!$C$7&lt;=8,2,1))))</f>
        <v>3</v>
      </c>
      <c r="Q89" s="20" t="n">
        <v>4</v>
      </c>
      <c r="R89" s="20" t="n">
        <v>3</v>
      </c>
      <c r="S89" s="20" t="n">
        <v>5</v>
      </c>
      <c r="T89" s="20" t="n">
        <v>4</v>
      </c>
      <c r="U89" s="5">
        <f>IF(Finans!AI89&lt;=0,0,IF(Finans!AI89&lt;=5,5,IF(Finans!AI89&lt;10,4,IF(Finans!AI89&lt;=30,3,IF(Finans!AI89&lt;100,2,1)))))</f>
        <v>2</v>
      </c>
      <c r="V89" s="20" t="n">
        <v>2</v>
      </c>
      <c r="W89" s="20" t="n">
        <v>3</v>
      </c>
      <c r="X89" s="20" t="n">
        <v>3</v>
      </c>
      <c r="Y89" s="20" t="n">
        <v>1</v>
      </c>
      <c r="Z89" s="20" t="n">
        <v>4</v>
      </c>
      <c r="AA89" s="20" t="n">
        <v>5</v>
      </c>
      <c r="AB89" s="20" t="n">
        <v>5</v>
      </c>
      <c r="AD89" s="20" t="n">
        <v>2</v>
      </c>
      <c r="AE89" s="20" t="n">
        <v>1</v>
      </c>
      <c r="AF89" s="20" t="n">
        <v>4</v>
      </c>
      <c r="AG89" s="20" t="n">
        <v>3</v>
      </c>
    </row>
    <row r="90">
      <c r="A90" s="7" t="str">
        <f>Secenekler!A90</f>
        <v>ddd-renderer-c</v>
      </c>
      <c r="B90" s="7" t="str">
        <f>Secenekler!C90</f>
        <v>3 günlük sabit kapsamlı mimari değerlendirme hizmeti</v>
      </c>
      <c r="C90" s="20" t="n">
        <v>3</v>
      </c>
      <c r="D90" s="20" t="n">
        <v>3</v>
      </c>
      <c r="E90" s="20" t="n">
        <v>2</v>
      </c>
      <c r="F90" s="20" t="n">
        <v>3</v>
      </c>
      <c r="G90" s="20" t="n">
        <v>3</v>
      </c>
      <c r="H90" s="20" t="n">
        <v>1</v>
      </c>
      <c r="I90" s="20" t="n">
        <v>2</v>
      </c>
      <c r="J90" s="20" t="n">
        <v>1</v>
      </c>
      <c r="K90" s="20" t="n">
        <v>3</v>
      </c>
      <c r="L90" s="20" t="n">
        <v>2</v>
      </c>
      <c r="M90" s="20" t="n">
        <v>3</v>
      </c>
      <c r="N90" s="20" t="n">
        <v>2</v>
      </c>
      <c r="O90" s="5">
        <f>IF((Finans!K90+Finans!L90)/2&lt;14,5,IF((Finans!K90+Finans!L90)/2&lt;28,4,IF((Finans!K90+Finans!L90)/2&lt;=56,3,IF((Finans!K90+Finans!L90)/2&lt;=90,2,1))))</f>
        <v>2</v>
      </c>
      <c r="P90" s="5">
        <f>IF(Finans!I90/Hedef!$C$7&lt;1,5,IF(Finans!I90/Hedef!$C$7&lt;3,4,IF(Finans!I90/Hedef!$C$7&lt;=5,3,IF(Finans!I90/Hedef!$C$7&lt;=8,2,1))))</f>
        <v>4</v>
      </c>
      <c r="Q90" s="20" t="n">
        <v>3</v>
      </c>
      <c r="R90" s="20" t="n">
        <v>3</v>
      </c>
      <c r="S90" s="20" t="n">
        <v>1</v>
      </c>
      <c r="T90" s="20" t="n">
        <v>2</v>
      </c>
      <c r="U90" s="5">
        <f>IF(Finans!AI90&lt;=0,0,IF(Finans!AI90&lt;=5,5,IF(Finans!AI90&lt;10,4,IF(Finans!AI90&lt;=30,3,IF(Finans!AI90&lt;100,2,1)))))</f>
        <v>5</v>
      </c>
      <c r="V90" s="20" t="n">
        <v>2</v>
      </c>
      <c r="W90" s="20" t="n">
        <v>2</v>
      </c>
      <c r="X90" s="20" t="n">
        <v>3</v>
      </c>
      <c r="Y90" s="20" t="n">
        <v>2</v>
      </c>
      <c r="Z90" s="20" t="n">
        <v>2</v>
      </c>
      <c r="AA90" s="20" t="n">
        <v>3</v>
      </c>
      <c r="AB90" s="20" t="n">
        <v>3</v>
      </c>
      <c r="AD90" s="20" t="n">
        <v>2</v>
      </c>
      <c r="AE90" s="20" t="n">
        <v>1</v>
      </c>
      <c r="AF90" s="20" t="n">
        <v>1</v>
      </c>
      <c r="AG90" s="20" t="n">
        <v>3</v>
      </c>
    </row>
    <row r="91">
      <c r="A91" s="7" t="str">
        <f>Secenekler!A91</f>
        <v>devpanel-a</v>
      </c>
      <c r="B91" s="7" t="str">
        <f>Secenekler!C91</f>
        <v>3 günlük onay, denetim ve yetki entegrasyon paketi</v>
      </c>
      <c r="C91" s="20" t="n">
        <v>3</v>
      </c>
      <c r="D91" s="20" t="n">
        <v>2</v>
      </c>
      <c r="E91" s="20" t="n">
        <v>3</v>
      </c>
      <c r="F91" s="20" t="n">
        <v>3</v>
      </c>
      <c r="G91" s="20" t="n">
        <v>3</v>
      </c>
      <c r="H91" s="20" t="n">
        <v>1</v>
      </c>
      <c r="I91" s="20" t="n">
        <v>1</v>
      </c>
      <c r="J91" s="20" t="n">
        <v>2</v>
      </c>
      <c r="K91" s="20" t="n">
        <v>3</v>
      </c>
      <c r="L91" s="20" t="n">
        <v>1</v>
      </c>
      <c r="M91" s="20" t="n">
        <v>2</v>
      </c>
      <c r="N91" s="20" t="n">
        <v>3</v>
      </c>
      <c r="O91" s="5">
        <f>IF((Finans!K91+Finans!L91)/2&lt;14,5,IF((Finans!K91+Finans!L91)/2&lt;28,4,IF((Finans!K91+Finans!L91)/2&lt;=56,3,IF((Finans!K91+Finans!L91)/2&lt;=90,2,1))))</f>
        <v>1</v>
      </c>
      <c r="P91" s="5">
        <f>IF(Finans!I91/Hedef!$C$7&lt;1,5,IF(Finans!I91/Hedef!$C$7&lt;3,4,IF(Finans!I91/Hedef!$C$7&lt;=5,3,IF(Finans!I91/Hedef!$C$7&lt;=8,2,1))))</f>
        <v>3</v>
      </c>
      <c r="Q91" s="20" t="n">
        <v>3</v>
      </c>
      <c r="R91" s="20" t="n">
        <v>3</v>
      </c>
      <c r="S91" s="20" t="n">
        <v>1</v>
      </c>
      <c r="T91" s="20" t="n">
        <v>2</v>
      </c>
      <c r="U91" s="5">
        <f>IF(Finans!AI91&lt;=0,0,IF(Finans!AI91&lt;=5,5,IF(Finans!AI91&lt;10,4,IF(Finans!AI91&lt;=30,3,IF(Finans!AI91&lt;100,2,1)))))</f>
        <v>5</v>
      </c>
      <c r="V91" s="20" t="n">
        <v>2</v>
      </c>
      <c r="W91" s="20" t="n">
        <v>2</v>
      </c>
      <c r="X91" s="20" t="n">
        <v>3</v>
      </c>
      <c r="Y91" s="20" t="n">
        <v>2</v>
      </c>
      <c r="Z91" s="20" t="n">
        <v>2</v>
      </c>
      <c r="AA91" s="20" t="n">
        <v>3</v>
      </c>
      <c r="AB91" s="20" t="n">
        <v>3</v>
      </c>
      <c r="AD91" s="20" t="n">
        <v>2</v>
      </c>
      <c r="AE91" s="20" t="n">
        <v>1</v>
      </c>
      <c r="AF91" s="20" t="n">
        <v>1</v>
      </c>
      <c r="AG91" s="20" t="n">
        <v>3</v>
      </c>
    </row>
    <row r="92">
      <c r="A92" s="7" t="str">
        <f>Secenekler!A92</f>
        <v>devpanel-b</v>
      </c>
      <c r="B92" s="7" t="str">
        <f>Secenekler!C92</f>
        <v>20 alanlı form şemasından JSON ve React dışa aktarım işi</v>
      </c>
      <c r="C92" s="20" t="n">
        <v>2</v>
      </c>
      <c r="D92" s="20" t="n">
        <v>2</v>
      </c>
      <c r="E92" s="20" t="n">
        <v>3</v>
      </c>
      <c r="F92" s="20" t="n">
        <v>3</v>
      </c>
      <c r="G92" s="20" t="n">
        <v>3</v>
      </c>
      <c r="H92" s="20" t="n">
        <v>1</v>
      </c>
      <c r="I92" s="20" t="n">
        <v>1</v>
      </c>
      <c r="J92" s="20" t="n">
        <v>2</v>
      </c>
      <c r="K92" s="20" t="n">
        <v>2</v>
      </c>
      <c r="L92" s="20" t="n">
        <v>2</v>
      </c>
      <c r="M92" s="20" t="n">
        <v>2</v>
      </c>
      <c r="N92" s="20" t="n">
        <v>2</v>
      </c>
      <c r="O92" s="5">
        <f>IF((Finans!K92+Finans!L92)/2&lt;14,5,IF((Finans!K92+Finans!L92)/2&lt;28,4,IF((Finans!K92+Finans!L92)/2&lt;=56,3,IF((Finans!K92+Finans!L92)/2&lt;=90,2,1))))</f>
        <v>1</v>
      </c>
      <c r="P92" s="5">
        <f>IF(Finans!I92/Hedef!$C$7&lt;1,5,IF(Finans!I92/Hedef!$C$7&lt;3,4,IF(Finans!I92/Hedef!$C$7&lt;=5,3,IF(Finans!I92/Hedef!$C$7&lt;=8,2,1))))</f>
        <v>3</v>
      </c>
      <c r="Q92" s="20" t="n">
        <v>3</v>
      </c>
      <c r="R92" s="20" t="n">
        <v>3</v>
      </c>
      <c r="S92" s="20" t="n">
        <v>1</v>
      </c>
      <c r="T92" s="20" t="n">
        <v>2</v>
      </c>
      <c r="U92" s="5">
        <f>IF(Finans!AI92&lt;=0,0,IF(Finans!AI92&lt;=5,5,IF(Finans!AI92&lt;10,4,IF(Finans!AI92&lt;=30,3,IF(Finans!AI92&lt;100,2,1)))))</f>
        <v>4</v>
      </c>
      <c r="V92" s="20" t="n">
        <v>2</v>
      </c>
      <c r="W92" s="20" t="n">
        <v>2</v>
      </c>
      <c r="X92" s="20" t="n">
        <v>2</v>
      </c>
      <c r="Y92" s="20" t="n">
        <v>1</v>
      </c>
      <c r="Z92" s="20" t="n">
        <v>2</v>
      </c>
      <c r="AA92" s="20" t="n">
        <v>4</v>
      </c>
      <c r="AB92" s="20" t="n">
        <v>2</v>
      </c>
      <c r="AD92" s="20" t="n">
        <v>2</v>
      </c>
      <c r="AE92" s="20" t="n">
        <v>1</v>
      </c>
      <c r="AF92" s="20" t="n">
        <v>2</v>
      </c>
      <c r="AG92" s="20" t="n">
        <v>3</v>
      </c>
    </row>
    <row r="93">
      <c r="A93" s="7" t="str">
        <f>Secenekler!A93</f>
        <v>devpanel-c</v>
      </c>
      <c r="B93" s="7" t="str">
        <f>Secenekler!C93</f>
        <v>Yönetim paneli şablonu, 49 $ lisans</v>
      </c>
      <c r="C93" s="20" t="n">
        <v>1</v>
      </c>
      <c r="D93" s="20" t="n">
        <v>2</v>
      </c>
      <c r="E93" s="20" t="n">
        <v>5</v>
      </c>
      <c r="F93" s="20" t="n">
        <v>4</v>
      </c>
      <c r="G93" s="20" t="n">
        <v>5</v>
      </c>
      <c r="H93" s="20" t="n">
        <v>3</v>
      </c>
      <c r="I93" s="20" t="n">
        <v>1</v>
      </c>
      <c r="J93" s="20" t="n">
        <v>3</v>
      </c>
      <c r="K93" s="20" t="n">
        <v>3</v>
      </c>
      <c r="L93" s="20" t="n">
        <v>1</v>
      </c>
      <c r="M93" s="20" t="n">
        <v>1</v>
      </c>
      <c r="N93" s="20" t="n">
        <v>3</v>
      </c>
      <c r="O93" s="5">
        <f>IF((Finans!K93+Finans!L93)/2&lt;14,5,IF((Finans!K93+Finans!L93)/2&lt;28,4,IF((Finans!K93+Finans!L93)/2&lt;=56,3,IF((Finans!K93+Finans!L93)/2&lt;=90,2,1))))</f>
        <v>2</v>
      </c>
      <c r="P93" s="5">
        <f>IF(Finans!I93/Hedef!$C$7&lt;1,5,IF(Finans!I93/Hedef!$C$7&lt;3,4,IF(Finans!I93/Hedef!$C$7&lt;=5,3,IF(Finans!I93/Hedef!$C$7&lt;=8,2,1))))</f>
        <v>3</v>
      </c>
      <c r="Q93" s="20" t="n">
        <v>5</v>
      </c>
      <c r="R93" s="20" t="n">
        <v>3</v>
      </c>
      <c r="S93" s="20" t="n">
        <v>4</v>
      </c>
      <c r="T93" s="20" t="n">
        <v>3</v>
      </c>
      <c r="U93" s="5">
        <f>IF(Finans!AI93&lt;=0,0,IF(Finans!AI93&lt;=5,5,IF(Finans!AI93&lt;10,4,IF(Finans!AI93&lt;=30,3,IF(Finans!AI93&lt;100,2,1)))))</f>
        <v>2</v>
      </c>
      <c r="V93" s="20" t="n">
        <v>1</v>
      </c>
      <c r="W93" s="20" t="n">
        <v>3</v>
      </c>
      <c r="X93" s="20" t="n">
        <v>2</v>
      </c>
      <c r="Y93" s="20" t="n">
        <v>1</v>
      </c>
      <c r="Z93" s="20" t="n">
        <v>4</v>
      </c>
      <c r="AA93" s="20" t="n">
        <v>4</v>
      </c>
      <c r="AB93" s="20" t="n">
        <v>5</v>
      </c>
      <c r="AD93" s="20" t="n">
        <v>3</v>
      </c>
      <c r="AE93" s="20" t="n">
        <v>1</v>
      </c>
      <c r="AF93" s="20" t="n">
        <v>4</v>
      </c>
      <c r="AG93" s="20" t="n">
        <v>3</v>
      </c>
    </row>
    <row r="94">
      <c r="A94" s="7" t="str">
        <f>Secenekler!A94</f>
        <v>e-menum-a</v>
      </c>
      <c r="B94" s="7" t="str">
        <f>Secenekler!C94</f>
        <v>Tek kiracılı white-label kurulum paketi</v>
      </c>
      <c r="C94" s="20" t="n">
        <v>2</v>
      </c>
      <c r="D94" s="20" t="n">
        <v>2</v>
      </c>
      <c r="E94" s="20" t="n">
        <v>3</v>
      </c>
      <c r="F94" s="20" t="n">
        <v>4</v>
      </c>
      <c r="G94" s="20" t="n">
        <v>4</v>
      </c>
      <c r="H94" s="20" t="n">
        <v>1</v>
      </c>
      <c r="I94" s="20" t="n">
        <v>1</v>
      </c>
      <c r="J94" s="20" t="n">
        <v>2</v>
      </c>
      <c r="K94" s="20" t="n">
        <v>3</v>
      </c>
      <c r="L94" s="20" t="n">
        <v>1</v>
      </c>
      <c r="M94" s="20" t="n">
        <v>3</v>
      </c>
      <c r="N94" s="20" t="n">
        <v>3</v>
      </c>
      <c r="O94" s="5">
        <f>IF((Finans!K94+Finans!L94)/2&lt;14,5,IF((Finans!K94+Finans!L94)/2&lt;28,4,IF((Finans!K94+Finans!L94)/2&lt;=56,3,IF((Finans!K94+Finans!L94)/2&lt;=90,2,1))))</f>
        <v>2</v>
      </c>
      <c r="P94" s="5">
        <f>IF(Finans!I94/Hedef!$C$7&lt;1,5,IF(Finans!I94/Hedef!$C$7&lt;3,4,IF(Finans!I94/Hedef!$C$7&lt;=5,3,IF(Finans!I94/Hedef!$C$7&lt;=8,2,1))))</f>
        <v>3</v>
      </c>
      <c r="Q94" s="20" t="n">
        <v>3</v>
      </c>
      <c r="R94" s="20" t="n">
        <v>2</v>
      </c>
      <c r="S94" s="20" t="n">
        <v>1</v>
      </c>
      <c r="T94" s="20" t="n">
        <v>2</v>
      </c>
      <c r="U94" s="5">
        <f>IF(Finans!AI94&lt;=0,0,IF(Finans!AI94&lt;=5,5,IF(Finans!AI94&lt;10,4,IF(Finans!AI94&lt;=30,3,IF(Finans!AI94&lt;100,2,1)))))</f>
        <v>3</v>
      </c>
      <c r="V94" s="20" t="n">
        <v>2</v>
      </c>
      <c r="W94" s="20" t="n">
        <v>3</v>
      </c>
      <c r="X94" s="20" t="n">
        <v>3</v>
      </c>
      <c r="Y94" s="20" t="n">
        <v>2</v>
      </c>
      <c r="Z94" s="20" t="n">
        <v>2</v>
      </c>
      <c r="AA94" s="20" t="n">
        <v>3</v>
      </c>
      <c r="AB94" s="20" t="n">
        <v>2</v>
      </c>
      <c r="AD94" s="20" t="n">
        <v>1</v>
      </c>
      <c r="AE94" s="20" t="n">
        <v>1</v>
      </c>
      <c r="AF94" s="20" t="n">
        <v>2</v>
      </c>
      <c r="AG94" s="20" t="n">
        <v>3</v>
      </c>
    </row>
    <row r="95">
      <c r="A95" s="7" t="str">
        <f>Secenekler!A95</f>
        <v>e-menum-b</v>
      </c>
      <c r="B95" s="7" t="str">
        <f>Secenekler!C95</f>
        <v>Çok şubeli markaya yönetilen menü güncelleme hizmeti</v>
      </c>
      <c r="C95" s="20" t="n">
        <v>3</v>
      </c>
      <c r="D95" s="20" t="n">
        <v>3</v>
      </c>
      <c r="E95" s="20" t="n">
        <v>2</v>
      </c>
      <c r="F95" s="20" t="n">
        <v>3</v>
      </c>
      <c r="G95" s="20" t="n">
        <v>3</v>
      </c>
      <c r="H95" s="20" t="n">
        <v>1</v>
      </c>
      <c r="I95" s="20" t="n">
        <v>2</v>
      </c>
      <c r="J95" s="20" t="n">
        <v>2</v>
      </c>
      <c r="K95" s="20" t="n">
        <v>3</v>
      </c>
      <c r="L95" s="20" t="n">
        <v>2</v>
      </c>
      <c r="M95" s="20" t="n">
        <v>3</v>
      </c>
      <c r="N95" s="20" t="n">
        <v>3</v>
      </c>
      <c r="O95" s="5">
        <f>IF((Finans!K95+Finans!L95)/2&lt;14,5,IF((Finans!K95+Finans!L95)/2&lt;28,4,IF((Finans!K95+Finans!L95)/2&lt;=56,3,IF((Finans!K95+Finans!L95)/2&lt;=90,2,1))))</f>
        <v>2</v>
      </c>
      <c r="P95" s="5">
        <f>IF(Finans!I95/Hedef!$C$7&lt;1,5,IF(Finans!I95/Hedef!$C$7&lt;3,4,IF(Finans!I95/Hedef!$C$7&lt;=5,3,IF(Finans!I95/Hedef!$C$7&lt;=8,2,1))))</f>
        <v>3</v>
      </c>
      <c r="Q95" s="20" t="n">
        <v>2</v>
      </c>
      <c r="R95" s="20" t="n">
        <v>2</v>
      </c>
      <c r="S95" s="20" t="n">
        <v>1</v>
      </c>
      <c r="T95" s="20" t="n">
        <v>2</v>
      </c>
      <c r="U95" s="5">
        <f>IF(Finans!AI95&lt;=0,0,IF(Finans!AI95&lt;=5,5,IF(Finans!AI95&lt;10,4,IF(Finans!AI95&lt;=30,3,IF(Finans!AI95&lt;100,2,1)))))</f>
        <v>3</v>
      </c>
      <c r="V95" s="20" t="n">
        <v>5</v>
      </c>
      <c r="W95" s="20" t="n">
        <v>4</v>
      </c>
      <c r="X95" s="20" t="n">
        <v>3</v>
      </c>
      <c r="Y95" s="20" t="n">
        <v>2</v>
      </c>
      <c r="Z95" s="20" t="n">
        <v>2</v>
      </c>
      <c r="AA95" s="20" t="n">
        <v>2</v>
      </c>
      <c r="AB95" s="20" t="n">
        <v>2</v>
      </c>
      <c r="AD95" s="20" t="n">
        <v>3</v>
      </c>
      <c r="AE95" s="20" t="n">
        <v>2</v>
      </c>
      <c r="AF95" s="20" t="n">
        <v>2</v>
      </c>
      <c r="AG95" s="20" t="n">
        <v>3</v>
      </c>
    </row>
    <row r="96">
      <c r="A96" s="7" t="str">
        <f>Secenekler!A96</f>
        <v>e-menum-c</v>
      </c>
      <c r="B96" s="7" t="str">
        <f>Secenekler!C96</f>
        <v>Kaynak kod ve belge paketi (depo ve topluluk)</v>
      </c>
      <c r="C96" s="20" t="n">
        <v>2</v>
      </c>
      <c r="D96" s="20" t="n">
        <v>2</v>
      </c>
      <c r="E96" s="20" t="n">
        <v>4</v>
      </c>
      <c r="F96" s="20" t="n">
        <v>4</v>
      </c>
      <c r="G96" s="20" t="n">
        <v>5</v>
      </c>
      <c r="H96" s="20" t="n">
        <v>2</v>
      </c>
      <c r="I96" s="20" t="n">
        <v>1</v>
      </c>
      <c r="J96" s="20" t="n">
        <v>3</v>
      </c>
      <c r="K96" s="20" t="n">
        <v>3</v>
      </c>
      <c r="L96" s="20" t="n">
        <v>1</v>
      </c>
      <c r="M96" s="20" t="n">
        <v>3</v>
      </c>
      <c r="N96" s="20" t="n">
        <v>3</v>
      </c>
      <c r="O96" s="5">
        <f>IF((Finans!K96+Finans!L96)/2&lt;14,5,IF((Finans!K96+Finans!L96)/2&lt;28,4,IF((Finans!K96+Finans!L96)/2&lt;=56,3,IF((Finans!K96+Finans!L96)/2&lt;=90,2,1))))</f>
        <v>2</v>
      </c>
      <c r="P96" s="5">
        <f>IF(Finans!I96/Hedef!$C$7&lt;1,5,IF(Finans!I96/Hedef!$C$7&lt;3,4,IF(Finans!I96/Hedef!$C$7&lt;=5,3,IF(Finans!I96/Hedef!$C$7&lt;=8,2,1))))</f>
        <v>4</v>
      </c>
      <c r="Q96" s="20" t="n">
        <v>5</v>
      </c>
      <c r="R96" s="20" t="n">
        <v>3</v>
      </c>
      <c r="S96" s="20" t="n">
        <v>4</v>
      </c>
      <c r="T96" s="20" t="n">
        <v>2</v>
      </c>
      <c r="U96" s="5">
        <f>IF(Finans!AI96&lt;=0,0,IF(Finans!AI96&lt;=5,5,IF(Finans!AI96&lt;10,4,IF(Finans!AI96&lt;=30,3,IF(Finans!AI96&lt;100,2,1)))))</f>
        <v>2</v>
      </c>
      <c r="V96" s="20" t="n">
        <v>1</v>
      </c>
      <c r="W96" s="20" t="n">
        <v>1</v>
      </c>
      <c r="X96" s="20" t="n">
        <v>3</v>
      </c>
      <c r="Y96" s="20" t="n">
        <v>2</v>
      </c>
      <c r="Z96" s="20" t="n">
        <v>4</v>
      </c>
      <c r="AA96" s="20" t="n">
        <v>4</v>
      </c>
      <c r="AB96" s="20" t="n">
        <v>5</v>
      </c>
      <c r="AD96" s="20" t="n">
        <v>2</v>
      </c>
      <c r="AE96" s="20" t="n">
        <v>1</v>
      </c>
      <c r="AF96" s="20" t="n">
        <v>4</v>
      </c>
      <c r="AG96" s="20" t="n">
        <v>2</v>
      </c>
    </row>
    <row r="97">
      <c r="A97" s="7" t="str">
        <f>Secenekler!A97</f>
        <v>eklenti-firsat-panosu-a</v>
      </c>
      <c r="B97" s="7" t="str">
        <f>Secenekler!C97</f>
        <v>Bülten Pro: aylık eklenti fırsat bülteni</v>
      </c>
      <c r="C97" s="20" t="n">
        <v>2</v>
      </c>
      <c r="D97" s="20" t="n">
        <v>2</v>
      </c>
      <c r="E97" s="20" t="n">
        <v>3</v>
      </c>
      <c r="F97" s="20" t="n">
        <v>3</v>
      </c>
      <c r="G97" s="20" t="n">
        <v>5</v>
      </c>
      <c r="H97" s="20" t="n">
        <v>2</v>
      </c>
      <c r="I97" s="20" t="n">
        <v>2</v>
      </c>
      <c r="J97" s="20" t="n">
        <v>2</v>
      </c>
      <c r="K97" s="20" t="n">
        <v>3</v>
      </c>
      <c r="L97" s="20" t="n">
        <v>2</v>
      </c>
      <c r="M97" s="20" t="n">
        <v>3</v>
      </c>
      <c r="N97" s="20" t="n">
        <v>3</v>
      </c>
      <c r="O97" s="5">
        <f>IF((Finans!K97+Finans!L97)/2&lt;14,5,IF((Finans!K97+Finans!L97)/2&lt;28,4,IF((Finans!K97+Finans!L97)/2&lt;=56,3,IF((Finans!K97+Finans!L97)/2&lt;=90,2,1))))</f>
        <v>2</v>
      </c>
      <c r="P97" s="5">
        <f>IF(Finans!I97/Hedef!$C$7&lt;1,5,IF(Finans!I97/Hedef!$C$7&lt;3,4,IF(Finans!I97/Hedef!$C$7&lt;=5,3,IF(Finans!I97/Hedef!$C$7&lt;=8,2,1))))</f>
        <v>4</v>
      </c>
      <c r="Q97" s="20" t="n">
        <v>4</v>
      </c>
      <c r="R97" s="20" t="n">
        <v>4</v>
      </c>
      <c r="S97" s="20" t="n">
        <v>4</v>
      </c>
      <c r="T97" s="20" t="n">
        <v>5</v>
      </c>
      <c r="U97" s="5">
        <f>IF(Finans!AI97&lt;=0,0,IF(Finans!AI97&lt;=5,5,IF(Finans!AI97&lt;10,4,IF(Finans!AI97&lt;=30,3,IF(Finans!AI97&lt;100,2,1)))))</f>
        <v>1</v>
      </c>
      <c r="V97" s="20" t="n">
        <v>4</v>
      </c>
      <c r="W97" s="20" t="n">
        <v>2</v>
      </c>
      <c r="X97" s="20" t="n">
        <v>3</v>
      </c>
      <c r="Y97" s="20" t="n">
        <v>2</v>
      </c>
      <c r="Z97" s="20" t="n">
        <v>4</v>
      </c>
      <c r="AA97" s="20" t="n">
        <v>4</v>
      </c>
      <c r="AB97" s="20" t="n">
        <v>5</v>
      </c>
      <c r="AD97" s="20" t="n">
        <v>2</v>
      </c>
      <c r="AE97" s="20" t="n">
        <v>1</v>
      </c>
      <c r="AF97" s="20" t="n">
        <v>3</v>
      </c>
      <c r="AG97" s="20" t="n">
        <v>3</v>
      </c>
    </row>
    <row r="98">
      <c r="A98" s="7" t="str">
        <f>Secenekler!A98</f>
        <v>eklenti-firsat-panosu-b</v>
      </c>
      <c r="B98" s="7" t="str">
        <f>Secenekler!C98</f>
        <v>Keşif Paketi: tek seferlik eklenti fırsat seti</v>
      </c>
      <c r="C98" s="20" t="n">
        <v>2</v>
      </c>
      <c r="D98" s="20" t="n">
        <v>2</v>
      </c>
      <c r="E98" s="20" t="n">
        <v>3</v>
      </c>
      <c r="F98" s="20" t="n">
        <v>3</v>
      </c>
      <c r="G98" s="20" t="n">
        <v>5</v>
      </c>
      <c r="H98" s="20" t="n">
        <v>1</v>
      </c>
      <c r="I98" s="20" t="n">
        <v>2</v>
      </c>
      <c r="J98" s="20" t="n">
        <v>2</v>
      </c>
      <c r="K98" s="20" t="n">
        <v>3</v>
      </c>
      <c r="L98" s="20" t="n">
        <v>1</v>
      </c>
      <c r="M98" s="20" t="n">
        <v>3</v>
      </c>
      <c r="N98" s="20" t="n">
        <v>3</v>
      </c>
      <c r="O98" s="5">
        <f>IF((Finans!K98+Finans!L98)/2&lt;14,5,IF((Finans!K98+Finans!L98)/2&lt;28,4,IF((Finans!K98+Finans!L98)/2&lt;=56,3,IF((Finans!K98+Finans!L98)/2&lt;=90,2,1))))</f>
        <v>2</v>
      </c>
      <c r="P98" s="5">
        <f>IF(Finans!I98/Hedef!$C$7&lt;1,5,IF(Finans!I98/Hedef!$C$7&lt;3,4,IF(Finans!I98/Hedef!$C$7&lt;=5,3,IF(Finans!I98/Hedef!$C$7&lt;=8,2,1))))</f>
        <v>4</v>
      </c>
      <c r="Q98" s="20" t="n">
        <v>5</v>
      </c>
      <c r="R98" s="20" t="n">
        <v>4</v>
      </c>
      <c r="S98" s="20" t="n">
        <v>5</v>
      </c>
      <c r="T98" s="20" t="n">
        <v>5</v>
      </c>
      <c r="U98" s="5">
        <f>IF(Finans!AI98&lt;=0,0,IF(Finans!AI98&lt;=5,5,IF(Finans!AI98&lt;10,4,IF(Finans!AI98&lt;=30,3,IF(Finans!AI98&lt;100,2,1)))))</f>
        <v>1</v>
      </c>
      <c r="V98" s="20" t="n">
        <v>1</v>
      </c>
      <c r="W98" s="20" t="n">
        <v>2</v>
      </c>
      <c r="X98" s="20" t="n">
        <v>3</v>
      </c>
      <c r="Y98" s="20" t="n">
        <v>1</v>
      </c>
      <c r="Z98" s="20" t="n">
        <v>5</v>
      </c>
      <c r="AA98" s="20" t="n">
        <v>4</v>
      </c>
      <c r="AB98" s="20" t="n">
        <v>5</v>
      </c>
      <c r="AD98" s="20" t="n">
        <v>2</v>
      </c>
      <c r="AE98" s="20" t="n">
        <v>1</v>
      </c>
      <c r="AF98" s="20" t="n">
        <v>4</v>
      </c>
      <c r="AG98" s="20" t="n">
        <v>3</v>
      </c>
    </row>
    <row r="99">
      <c r="A99" s="7" t="str">
        <f>Secenekler!A99</f>
        <v>eklenti-firsat-panosu-c</v>
      </c>
      <c r="B99" s="7" t="str">
        <f>Secenekler!C99</f>
        <v>Ajans lisansı: ürün hattı fırsat paketi</v>
      </c>
      <c r="C99" s="20" t="n">
        <v>2</v>
      </c>
      <c r="D99" s="20" t="n">
        <v>2</v>
      </c>
      <c r="E99" s="20" t="n">
        <v>2</v>
      </c>
      <c r="F99" s="20" t="n">
        <v>2</v>
      </c>
      <c r="G99" s="20" t="n">
        <v>3</v>
      </c>
      <c r="H99" s="20" t="n">
        <v>1</v>
      </c>
      <c r="I99" s="20" t="n">
        <v>1</v>
      </c>
      <c r="J99" s="20" t="n">
        <v>1</v>
      </c>
      <c r="K99" s="20" t="n">
        <v>3</v>
      </c>
      <c r="L99" s="20" t="n">
        <v>2</v>
      </c>
      <c r="M99" s="20" t="n">
        <v>3</v>
      </c>
      <c r="N99" s="20" t="n">
        <v>3</v>
      </c>
      <c r="O99" s="5">
        <f>IF((Finans!K99+Finans!L99)/2&lt;14,5,IF((Finans!K99+Finans!L99)/2&lt;28,4,IF((Finans!K99+Finans!L99)/2&lt;=56,3,IF((Finans!K99+Finans!L99)/2&lt;=90,2,1))))</f>
        <v>1</v>
      </c>
      <c r="P99" s="5">
        <f>IF(Finans!I99/Hedef!$C$7&lt;1,5,IF(Finans!I99/Hedef!$C$7&lt;3,4,IF(Finans!I99/Hedef!$C$7&lt;=5,3,IF(Finans!I99/Hedef!$C$7&lt;=8,2,1))))</f>
        <v>4</v>
      </c>
      <c r="Q99" s="20" t="n">
        <v>3</v>
      </c>
      <c r="R99" s="20" t="n">
        <v>4</v>
      </c>
      <c r="S99" s="20" t="n">
        <v>2</v>
      </c>
      <c r="T99" s="20" t="n">
        <v>5</v>
      </c>
      <c r="U99" s="5">
        <f>IF(Finans!AI99&lt;=0,0,IF(Finans!AI99&lt;=5,5,IF(Finans!AI99&lt;10,4,IF(Finans!AI99&lt;=30,3,IF(Finans!AI99&lt;100,2,1)))))</f>
        <v>3</v>
      </c>
      <c r="V99" s="20" t="n">
        <v>3</v>
      </c>
      <c r="W99" s="20" t="n">
        <v>3</v>
      </c>
      <c r="X99" s="20" t="n">
        <v>2</v>
      </c>
      <c r="Y99" s="20" t="n">
        <v>2</v>
      </c>
      <c r="Z99" s="20" t="n">
        <v>3</v>
      </c>
      <c r="AA99" s="20" t="n">
        <v>3</v>
      </c>
      <c r="AB99" s="20" t="n">
        <v>3</v>
      </c>
      <c r="AD99" s="20" t="n">
        <v>2</v>
      </c>
      <c r="AE99" s="20" t="n">
        <v>1</v>
      </c>
      <c r="AF99" s="20" t="n">
        <v>2</v>
      </c>
      <c r="AG99" s="20" t="n">
        <v>3</v>
      </c>
    </row>
    <row r="100">
      <c r="A100" s="7" t="str">
        <f>Secenekler!A100</f>
        <v>cok-dilli-arayuz-a</v>
      </c>
      <c r="B100" s="7" t="str">
        <f>Secenekler!C100</f>
        <v>Çok dilli site denetimi: sabit fiyatlı paket</v>
      </c>
      <c r="C100" s="20" t="n">
        <v>3</v>
      </c>
      <c r="D100" s="20" t="n">
        <v>3</v>
      </c>
      <c r="E100" s="20" t="n">
        <v>2</v>
      </c>
      <c r="F100" s="20" t="n">
        <v>3</v>
      </c>
      <c r="G100" s="20" t="n">
        <v>3</v>
      </c>
      <c r="H100" s="20" t="n">
        <v>1</v>
      </c>
      <c r="I100" s="20" t="n">
        <v>3</v>
      </c>
      <c r="J100" s="20" t="n">
        <v>2</v>
      </c>
      <c r="K100" s="20" t="n">
        <v>3</v>
      </c>
      <c r="L100" s="20" t="n">
        <v>2</v>
      </c>
      <c r="M100" s="20" t="n">
        <v>3</v>
      </c>
      <c r="N100" s="20" t="n">
        <v>3</v>
      </c>
      <c r="O100" s="5">
        <f>IF((Finans!K100+Finans!L100)/2&lt;14,5,IF((Finans!K100+Finans!L100)/2&lt;28,4,IF((Finans!K100+Finans!L100)/2&lt;=56,3,IF((Finans!K100+Finans!L100)/2&lt;=90,2,1))))</f>
        <v>3</v>
      </c>
      <c r="P100" s="5">
        <f>IF(Finans!I100/Hedef!$C$7&lt;1,5,IF(Finans!I100/Hedef!$C$7&lt;3,4,IF(Finans!I100/Hedef!$C$7&lt;=5,3,IF(Finans!I100/Hedef!$C$7&lt;=8,2,1))))</f>
        <v>4</v>
      </c>
      <c r="Q100" s="20" t="n">
        <v>4</v>
      </c>
      <c r="R100" s="20" t="n">
        <v>3</v>
      </c>
      <c r="S100" s="20" t="n">
        <v>2</v>
      </c>
      <c r="T100" s="20" t="n">
        <v>4</v>
      </c>
      <c r="U100" s="5">
        <f>IF(Finans!AI100&lt;=0,0,IF(Finans!AI100&lt;=5,5,IF(Finans!AI100&lt;10,4,IF(Finans!AI100&lt;=30,3,IF(Finans!AI100&lt;100,2,1)))))</f>
        <v>3</v>
      </c>
      <c r="V100" s="20" t="n">
        <v>2</v>
      </c>
      <c r="W100" s="20" t="n">
        <v>3</v>
      </c>
      <c r="X100" s="20" t="n">
        <v>4</v>
      </c>
      <c r="Y100" s="20" t="n">
        <v>3</v>
      </c>
      <c r="Z100" s="20" t="n">
        <v>2</v>
      </c>
      <c r="AA100" s="20" t="n">
        <v>4</v>
      </c>
      <c r="AB100" s="20" t="n">
        <v>4</v>
      </c>
      <c r="AD100" s="20" t="n">
        <v>2</v>
      </c>
      <c r="AE100" s="20" t="n">
        <v>1</v>
      </c>
      <c r="AF100" s="20" t="n">
        <v>1</v>
      </c>
      <c r="AG100" s="20" t="n">
        <v>4</v>
      </c>
    </row>
    <row r="101">
      <c r="A101" s="7" t="str">
        <f>Secenekler!A101</f>
        <v>cok-dilli-arayuz-b</v>
      </c>
      <c r="B101" s="7" t="str">
        <f>Secenekler!C101</f>
        <v>Kontrol listesi PDF ve ücretsiz Atlas modülü</v>
      </c>
      <c r="C101" s="20" t="n">
        <v>2</v>
      </c>
      <c r="D101" s="20" t="n">
        <v>2</v>
      </c>
      <c r="E101" s="20" t="n">
        <v>2</v>
      </c>
      <c r="F101" s="20" t="n">
        <v>2</v>
      </c>
      <c r="G101" s="20" t="n">
        <v>5</v>
      </c>
      <c r="H101" s="20" t="n">
        <v>1</v>
      </c>
      <c r="I101" s="20" t="n">
        <v>1</v>
      </c>
      <c r="J101" s="20" t="n">
        <v>2</v>
      </c>
      <c r="K101" s="20" t="n">
        <v>3</v>
      </c>
      <c r="L101" s="20" t="n">
        <v>1</v>
      </c>
      <c r="M101" s="20" t="n">
        <v>3</v>
      </c>
      <c r="N101" s="20" t="n">
        <v>2</v>
      </c>
      <c r="O101" s="5">
        <f>IF((Finans!K101+Finans!L101)/2&lt;14,5,IF((Finans!K101+Finans!L101)/2&lt;28,4,IF((Finans!K101+Finans!L101)/2&lt;=56,3,IF((Finans!K101+Finans!L101)/2&lt;=90,2,1))))</f>
        <v>3</v>
      </c>
      <c r="P101" s="5">
        <f>IF(Finans!I101/Hedef!$C$7&lt;1,5,IF(Finans!I101/Hedef!$C$7&lt;3,4,IF(Finans!I101/Hedef!$C$7&lt;=5,3,IF(Finans!I101/Hedef!$C$7&lt;=8,2,1))))</f>
        <v>4</v>
      </c>
      <c r="Q101" s="20" t="n">
        <v>5</v>
      </c>
      <c r="R101" s="20" t="n">
        <v>4</v>
      </c>
      <c r="S101" s="20" t="n">
        <v>5</v>
      </c>
      <c r="T101" s="20" t="n">
        <v>5</v>
      </c>
      <c r="U101" s="5">
        <f>IF(Finans!AI101&lt;=0,0,IF(Finans!AI101&lt;=5,5,IF(Finans!AI101&lt;10,4,IF(Finans!AI101&lt;=30,3,IF(Finans!AI101&lt;100,2,1)))))</f>
        <v>1</v>
      </c>
      <c r="V101" s="20" t="n">
        <v>1</v>
      </c>
      <c r="W101" s="20" t="n">
        <v>1</v>
      </c>
      <c r="X101" s="20" t="n">
        <v>3</v>
      </c>
      <c r="Y101" s="20" t="n">
        <v>2</v>
      </c>
      <c r="Z101" s="20" t="n">
        <v>5</v>
      </c>
      <c r="AA101" s="20" t="n">
        <v>4</v>
      </c>
      <c r="AB101" s="20" t="n">
        <v>5</v>
      </c>
      <c r="AD101" s="20" t="n">
        <v>2</v>
      </c>
      <c r="AE101" s="20" t="n">
        <v>1</v>
      </c>
      <c r="AF101" s="20" t="n">
        <v>4</v>
      </c>
      <c r="AG101" s="20" t="n">
        <v>4</v>
      </c>
    </row>
    <row r="102">
      <c r="A102" s="7" t="str">
        <f>Secenekler!A102</f>
        <v>cok-dilli-arayuz-c</v>
      </c>
      <c r="B102" s="7" t="str">
        <f>Secenekler!C102</f>
        <v>SaaS ekibine ücretli pilot: yerelleştirme QA kapısı</v>
      </c>
      <c r="C102" s="20" t="n">
        <v>3</v>
      </c>
      <c r="D102" s="20" t="n">
        <v>3</v>
      </c>
      <c r="E102" s="20" t="n">
        <v>2</v>
      </c>
      <c r="F102" s="20" t="n">
        <v>3</v>
      </c>
      <c r="G102" s="20" t="n">
        <v>3</v>
      </c>
      <c r="H102" s="20" t="n">
        <v>1</v>
      </c>
      <c r="I102" s="20" t="n">
        <v>1</v>
      </c>
      <c r="J102" s="20" t="n">
        <v>2</v>
      </c>
      <c r="K102" s="20" t="n">
        <v>2</v>
      </c>
      <c r="L102" s="20" t="n">
        <v>3</v>
      </c>
      <c r="M102" s="20" t="n">
        <v>2</v>
      </c>
      <c r="N102" s="20" t="n">
        <v>2</v>
      </c>
      <c r="O102" s="5">
        <f>IF((Finans!K102+Finans!L102)/2&lt;14,5,IF((Finans!K102+Finans!L102)/2&lt;28,4,IF((Finans!K102+Finans!L102)/2&lt;=56,3,IF((Finans!K102+Finans!L102)/2&lt;=90,2,1))))</f>
        <v>2</v>
      </c>
      <c r="P102" s="5">
        <f>IF(Finans!I102/Hedef!$C$7&lt;1,5,IF(Finans!I102/Hedef!$C$7&lt;3,4,IF(Finans!I102/Hedef!$C$7&lt;=5,3,IF(Finans!I102/Hedef!$C$7&lt;=8,2,1))))</f>
        <v>3</v>
      </c>
      <c r="Q102" s="20" t="n">
        <v>2</v>
      </c>
      <c r="R102" s="20" t="n">
        <v>3</v>
      </c>
      <c r="S102" s="20" t="n">
        <v>1</v>
      </c>
      <c r="T102" s="20" t="n">
        <v>2</v>
      </c>
      <c r="U102" s="5">
        <f>IF(Finans!AI102&lt;=0,0,IF(Finans!AI102&lt;=5,5,IF(Finans!AI102&lt;10,4,IF(Finans!AI102&lt;=30,3,IF(Finans!AI102&lt;100,2,1)))))</f>
        <v>3</v>
      </c>
      <c r="V102" s="20" t="n">
        <v>3</v>
      </c>
      <c r="W102" s="20" t="n">
        <v>3</v>
      </c>
      <c r="X102" s="20" t="n">
        <v>3</v>
      </c>
      <c r="Y102" s="20" t="n">
        <v>2</v>
      </c>
      <c r="Z102" s="20" t="n">
        <v>2</v>
      </c>
      <c r="AA102" s="20" t="n">
        <v>3</v>
      </c>
      <c r="AB102" s="20" t="n">
        <v>2</v>
      </c>
      <c r="AD102" s="20" t="n">
        <v>3</v>
      </c>
      <c r="AE102" s="20" t="n">
        <v>2</v>
      </c>
      <c r="AF102" s="20" t="n">
        <v>3</v>
      </c>
      <c r="AG102" s="20" t="n">
        <v>3</v>
      </c>
    </row>
    <row r="103">
      <c r="A103" s="7" t="str">
        <f>Secenekler!A103</f>
        <v>b2b-pazar-yeri-hizmeti-a</v>
      </c>
      <c r="B103" s="7" t="str">
        <f>Secenekler!C103</f>
        <v>Soğuk başlangıç teşhis paketi (2 hafta)</v>
      </c>
      <c r="C103" s="20" t="n">
        <v>3</v>
      </c>
      <c r="D103" s="20" t="n">
        <v>3</v>
      </c>
      <c r="E103" s="20" t="n">
        <v>2</v>
      </c>
      <c r="F103" s="20" t="n">
        <v>3</v>
      </c>
      <c r="G103" s="20" t="n">
        <v>3</v>
      </c>
      <c r="H103" s="20" t="n">
        <v>1</v>
      </c>
      <c r="I103" s="20" t="n">
        <v>2</v>
      </c>
      <c r="J103" s="20" t="n">
        <v>2</v>
      </c>
      <c r="K103" s="20" t="n">
        <v>3</v>
      </c>
      <c r="L103" s="20" t="n">
        <v>2</v>
      </c>
      <c r="M103" s="20" t="n">
        <v>3</v>
      </c>
      <c r="N103" s="20" t="n">
        <v>3</v>
      </c>
      <c r="O103" s="5">
        <f>IF((Finans!K103+Finans!L103)/2&lt;14,5,IF((Finans!K103+Finans!L103)/2&lt;28,4,IF((Finans!K103+Finans!L103)/2&lt;=56,3,IF((Finans!K103+Finans!L103)/2&lt;=90,2,1))))</f>
        <v>1</v>
      </c>
      <c r="P103" s="5">
        <f>IF(Finans!I103/Hedef!$C$7&lt;1,5,IF(Finans!I103/Hedef!$C$7&lt;3,4,IF(Finans!I103/Hedef!$C$7&lt;=5,3,IF(Finans!I103/Hedef!$C$7&lt;=8,2,1))))</f>
        <v>2</v>
      </c>
      <c r="Q103" s="20" t="n">
        <v>2</v>
      </c>
      <c r="R103" s="20" t="n">
        <v>2</v>
      </c>
      <c r="S103" s="20" t="n">
        <v>1</v>
      </c>
      <c r="T103" s="20" t="n">
        <v>4</v>
      </c>
      <c r="U103" s="5">
        <f>IF(Finans!AI103&lt;=0,0,IF(Finans!AI103&lt;=5,5,IF(Finans!AI103&lt;10,4,IF(Finans!AI103&lt;=30,3,IF(Finans!AI103&lt;100,2,1)))))</f>
        <v>5</v>
      </c>
      <c r="V103" s="20" t="n">
        <v>2</v>
      </c>
      <c r="W103" s="20" t="n">
        <v>3</v>
      </c>
      <c r="X103" s="20" t="n">
        <v>3</v>
      </c>
      <c r="Y103" s="20" t="n">
        <v>2</v>
      </c>
      <c r="Z103" s="20" t="n">
        <v>2</v>
      </c>
      <c r="AA103" s="20" t="n">
        <v>4</v>
      </c>
      <c r="AB103" s="20" t="n">
        <v>4</v>
      </c>
      <c r="AD103" s="20" t="n">
        <v>2</v>
      </c>
      <c r="AE103" s="20" t="n">
        <v>1</v>
      </c>
      <c r="AF103" s="20" t="n">
        <v>2</v>
      </c>
      <c r="AG103" s="20" t="n">
        <v>3</v>
      </c>
    </row>
    <row r="104">
      <c r="A104" s="7" t="str">
        <f>Secenekler!A104</f>
        <v>b2b-pazar-yeri-hizmeti-b</v>
      </c>
      <c r="B104" s="7" t="str">
        <f>Secenekler!C104</f>
        <v>Tek kategori talep ve teklif doğrulama raporu</v>
      </c>
      <c r="C104" s="20" t="n">
        <v>3</v>
      </c>
      <c r="D104" s="20" t="n">
        <v>3</v>
      </c>
      <c r="E104" s="20" t="n">
        <v>2</v>
      </c>
      <c r="F104" s="20" t="n">
        <v>3</v>
      </c>
      <c r="G104" s="20" t="n">
        <v>4</v>
      </c>
      <c r="H104" s="20" t="n">
        <v>1</v>
      </c>
      <c r="I104" s="20" t="n">
        <v>2</v>
      </c>
      <c r="J104" s="20" t="n">
        <v>2</v>
      </c>
      <c r="K104" s="20" t="n">
        <v>3</v>
      </c>
      <c r="L104" s="20" t="n">
        <v>2</v>
      </c>
      <c r="M104" s="20" t="n">
        <v>3</v>
      </c>
      <c r="N104" s="20" t="n">
        <v>3</v>
      </c>
      <c r="O104" s="5">
        <f>IF((Finans!K104+Finans!L104)/2&lt;14,5,IF((Finans!K104+Finans!L104)/2&lt;28,4,IF((Finans!K104+Finans!L104)/2&lt;=56,3,IF((Finans!K104+Finans!L104)/2&lt;=90,2,1))))</f>
        <v>2</v>
      </c>
      <c r="P104" s="5">
        <f>IF(Finans!I104/Hedef!$C$7&lt;1,5,IF(Finans!I104/Hedef!$C$7&lt;3,4,IF(Finans!I104/Hedef!$C$7&lt;=5,3,IF(Finans!I104/Hedef!$C$7&lt;=8,2,1))))</f>
        <v>3</v>
      </c>
      <c r="Q104" s="20" t="n">
        <v>4</v>
      </c>
      <c r="R104" s="20" t="n">
        <v>2</v>
      </c>
      <c r="S104" s="20" t="n">
        <v>2</v>
      </c>
      <c r="T104" s="20" t="n">
        <v>3</v>
      </c>
      <c r="U104" s="5">
        <f>IF(Finans!AI104&lt;=0,0,IF(Finans!AI104&lt;=5,5,IF(Finans!AI104&lt;10,4,IF(Finans!AI104&lt;=30,3,IF(Finans!AI104&lt;100,2,1)))))</f>
        <v>4</v>
      </c>
      <c r="V104" s="20" t="n">
        <v>2</v>
      </c>
      <c r="W104" s="20" t="n">
        <v>3</v>
      </c>
      <c r="X104" s="20" t="n">
        <v>3</v>
      </c>
      <c r="Y104" s="20" t="n">
        <v>2</v>
      </c>
      <c r="Z104" s="20" t="n">
        <v>2</v>
      </c>
      <c r="AA104" s="20" t="n">
        <v>4</v>
      </c>
      <c r="AB104" s="20" t="n">
        <v>4</v>
      </c>
      <c r="AD104" s="20" t="n">
        <v>2</v>
      </c>
      <c r="AE104" s="20" t="n">
        <v>1</v>
      </c>
      <c r="AF104" s="20" t="n">
        <v>1</v>
      </c>
      <c r="AG104" s="20" t="n">
        <v>3</v>
      </c>
    </row>
    <row r="105">
      <c r="A105" s="7" t="str">
        <f>Secenekler!A105</f>
        <v>b2b-pazar-yeri-hizmeti-c</v>
      </c>
      <c r="B105" s="7" t="str">
        <f>Secenekler!C105</f>
        <v>Tam paket: strateji, ekran seti, backlog ve 90 gün koçluk</v>
      </c>
      <c r="C105" s="20" t="n">
        <v>3</v>
      </c>
      <c r="D105" s="20" t="n">
        <v>3</v>
      </c>
      <c r="E105" s="20" t="n">
        <v>3</v>
      </c>
      <c r="F105" s="20" t="n">
        <v>3</v>
      </c>
      <c r="G105" s="20" t="n">
        <v>2</v>
      </c>
      <c r="H105" s="20" t="n">
        <v>1</v>
      </c>
      <c r="I105" s="20" t="n">
        <v>2</v>
      </c>
      <c r="J105" s="20" t="n">
        <v>2</v>
      </c>
      <c r="K105" s="20" t="n">
        <v>2</v>
      </c>
      <c r="L105" s="20" t="n">
        <v>2</v>
      </c>
      <c r="M105" s="20" t="n">
        <v>3</v>
      </c>
      <c r="N105" s="20" t="n">
        <v>3</v>
      </c>
      <c r="O105" s="5">
        <f>IF((Finans!K105+Finans!L105)/2&lt;14,5,IF((Finans!K105+Finans!L105)/2&lt;28,4,IF((Finans!K105+Finans!L105)/2&lt;=56,3,IF((Finans!K105+Finans!L105)/2&lt;=90,2,1))))</f>
        <v>1</v>
      </c>
      <c r="P105" s="5">
        <f>IF(Finans!I105/Hedef!$C$7&lt;1,5,IF(Finans!I105/Hedef!$C$7&lt;3,4,IF(Finans!I105/Hedef!$C$7&lt;=5,3,IF(Finans!I105/Hedef!$C$7&lt;=8,2,1))))</f>
        <v>2</v>
      </c>
      <c r="Q105" s="20" t="n">
        <v>2</v>
      </c>
      <c r="R105" s="20" t="n">
        <v>2</v>
      </c>
      <c r="S105" s="20" t="n">
        <v>1</v>
      </c>
      <c r="T105" s="20" t="n">
        <v>2</v>
      </c>
      <c r="U105" s="5">
        <f>IF(Finans!AI105&lt;=0,0,IF(Finans!AI105&lt;=5,5,IF(Finans!AI105&lt;10,4,IF(Finans!AI105&lt;=30,3,IF(Finans!AI105&lt;100,2,1)))))</f>
        <v>5</v>
      </c>
      <c r="V105" s="20" t="n">
        <v>3</v>
      </c>
      <c r="W105" s="20" t="n">
        <v>3</v>
      </c>
      <c r="X105" s="20" t="n">
        <v>3</v>
      </c>
      <c r="Y105" s="20" t="n">
        <v>3</v>
      </c>
      <c r="Z105" s="20" t="n">
        <v>1</v>
      </c>
      <c r="AA105" s="20" t="n">
        <v>3</v>
      </c>
      <c r="AB105" s="20" t="n">
        <v>2</v>
      </c>
      <c r="AD105" s="20" t="n">
        <v>2</v>
      </c>
      <c r="AE105" s="20" t="n">
        <v>1</v>
      </c>
      <c r="AF105" s="20" t="n">
        <v>2</v>
      </c>
      <c r="AG105" s="20" t="n">
        <v>3</v>
      </c>
    </row>
    <row r="106">
      <c r="A106" s="7" t="str">
        <f>Secenekler!A106</f>
        <v>lifeos-a</v>
      </c>
      <c r="B106" s="7" t="str">
        <f>Secenekler!C106</f>
        <v>Günün Framework'ü: ücretsiz yan panel ve çalışma kâğıdı paketi</v>
      </c>
      <c r="C106" s="20" t="n">
        <v>1</v>
      </c>
      <c r="D106" s="20" t="n">
        <v>2</v>
      </c>
      <c r="E106" s="20" t="n">
        <v>1</v>
      </c>
      <c r="F106" s="20" t="n">
        <v>3</v>
      </c>
      <c r="G106" s="20" t="n">
        <v>5</v>
      </c>
      <c r="H106" s="20" t="n">
        <v>2</v>
      </c>
      <c r="I106" s="20" t="n">
        <v>2</v>
      </c>
      <c r="J106" s="20" t="n">
        <v>2</v>
      </c>
      <c r="K106" s="20" t="n">
        <v>3</v>
      </c>
      <c r="L106" s="20" t="n">
        <v>2</v>
      </c>
      <c r="M106" s="20" t="n">
        <v>2</v>
      </c>
      <c r="N106" s="20" t="n">
        <v>3</v>
      </c>
      <c r="O106" s="5">
        <f>IF((Finans!K106+Finans!L106)/2&lt;14,5,IF((Finans!K106+Finans!L106)/2&lt;28,4,IF((Finans!K106+Finans!L106)/2&lt;=56,3,IF((Finans!K106+Finans!L106)/2&lt;=90,2,1))))</f>
        <v>2</v>
      </c>
      <c r="P106" s="5">
        <f>IF(Finans!I106/Hedef!$C$7&lt;1,5,IF(Finans!I106/Hedef!$C$7&lt;3,4,IF(Finans!I106/Hedef!$C$7&lt;=5,3,IF(Finans!I106/Hedef!$C$7&lt;=8,2,1))))</f>
        <v>3</v>
      </c>
      <c r="Q106" s="20" t="n">
        <v>5</v>
      </c>
      <c r="R106" s="20" t="n">
        <v>4</v>
      </c>
      <c r="S106" s="20" t="n">
        <v>4</v>
      </c>
      <c r="T106" s="20" t="n">
        <v>5</v>
      </c>
      <c r="U106" s="5">
        <f>IF(Finans!AI106&lt;=0,0,IF(Finans!AI106&lt;=5,5,IF(Finans!AI106&lt;10,4,IF(Finans!AI106&lt;=30,3,IF(Finans!AI106&lt;100,2,1)))))</f>
        <v>1</v>
      </c>
      <c r="V106" s="20" t="n">
        <v>2</v>
      </c>
      <c r="W106" s="20" t="n">
        <v>3</v>
      </c>
      <c r="X106" s="20" t="n">
        <v>3</v>
      </c>
      <c r="Y106" s="20" t="n">
        <v>2</v>
      </c>
      <c r="Z106" s="20" t="n">
        <v>5</v>
      </c>
      <c r="AA106" s="20" t="n">
        <v>4</v>
      </c>
      <c r="AB106" s="20" t="n">
        <v>5</v>
      </c>
      <c r="AD106" s="20" t="n">
        <v>2</v>
      </c>
      <c r="AE106" s="20" t="n">
        <v>1</v>
      </c>
      <c r="AF106" s="20" t="n">
        <v>4</v>
      </c>
      <c r="AG106" s="20" t="n">
        <v>4</v>
      </c>
    </row>
    <row r="107">
      <c r="A107" s="7" t="str">
        <f>Secenekler!A107</f>
        <v>lifeos-b</v>
      </c>
      <c r="B107" s="7" t="str">
        <f>Secenekler!C107</f>
        <v>Freelancer haftalık çalışma kaydı: yerel CSV ve kurulum paketi</v>
      </c>
      <c r="C107" s="20" t="n">
        <v>3</v>
      </c>
      <c r="D107" s="20" t="n">
        <v>4</v>
      </c>
      <c r="E107" s="20" t="n">
        <v>3</v>
      </c>
      <c r="F107" s="20" t="n">
        <v>3</v>
      </c>
      <c r="G107" s="20" t="n">
        <v>4</v>
      </c>
      <c r="H107" s="20" t="n">
        <v>1</v>
      </c>
      <c r="I107" s="20" t="n">
        <v>1</v>
      </c>
      <c r="J107" s="20" t="n">
        <v>3</v>
      </c>
      <c r="K107" s="20" t="n">
        <v>2</v>
      </c>
      <c r="L107" s="20" t="n">
        <v>2</v>
      </c>
      <c r="M107" s="20" t="n">
        <v>1</v>
      </c>
      <c r="N107" s="20" t="n">
        <v>2</v>
      </c>
      <c r="O107" s="5">
        <f>IF((Finans!K107+Finans!L107)/2&lt;14,5,IF((Finans!K107+Finans!L107)/2&lt;28,4,IF((Finans!K107+Finans!L107)/2&lt;=56,3,IF((Finans!K107+Finans!L107)/2&lt;=90,2,1))))</f>
        <v>2</v>
      </c>
      <c r="P107" s="5">
        <f>IF(Finans!I107/Hedef!$C$7&lt;1,5,IF(Finans!I107/Hedef!$C$7&lt;3,4,IF(Finans!I107/Hedef!$C$7&lt;=5,3,IF(Finans!I107/Hedef!$C$7&lt;=8,2,1))))</f>
        <v>3</v>
      </c>
      <c r="Q107" s="20" t="n">
        <v>3</v>
      </c>
      <c r="R107" s="20" t="n">
        <v>2</v>
      </c>
      <c r="S107" s="20" t="n">
        <v>3</v>
      </c>
      <c r="T107" s="20" t="n">
        <v>3</v>
      </c>
      <c r="U107" s="5">
        <f>IF(Finans!AI107&lt;=0,0,IF(Finans!AI107&lt;=5,5,IF(Finans!AI107&lt;10,4,IF(Finans!AI107&lt;=30,3,IF(Finans!AI107&lt;100,2,1)))))</f>
        <v>1</v>
      </c>
      <c r="V107" s="20" t="n">
        <v>2</v>
      </c>
      <c r="W107" s="20" t="n">
        <v>2</v>
      </c>
      <c r="X107" s="20" t="n">
        <v>2</v>
      </c>
      <c r="Y107" s="20" t="n">
        <v>1</v>
      </c>
      <c r="Z107" s="20" t="n">
        <v>3</v>
      </c>
      <c r="AA107" s="20" t="n">
        <v>3</v>
      </c>
      <c r="AB107" s="20" t="n">
        <v>3</v>
      </c>
      <c r="AD107" s="20" t="n"/>
      <c r="AE107" s="20" t="n">
        <v>1</v>
      </c>
      <c r="AF107" s="20" t="n">
        <v>3</v>
      </c>
      <c r="AG107" s="20" t="n">
        <v>2</v>
      </c>
    </row>
    <row r="108">
      <c r="A108" s="7" t="str">
        <f>Secenekler!A108</f>
        <v>lifeos-c</v>
      </c>
      <c r="B108" s="7" t="str">
        <f>Secenekler!C108</f>
        <v>Tek rutin yeni sekme şablonu: açık çekirdek ve ücretli kit</v>
      </c>
      <c r="C108" s="20" t="n">
        <v>1</v>
      </c>
      <c r="D108" s="20" t="n">
        <v>1</v>
      </c>
      <c r="E108" s="20" t="n">
        <v>1</v>
      </c>
      <c r="F108" s="20" t="n">
        <v>2</v>
      </c>
      <c r="G108" s="20" t="n">
        <v>4</v>
      </c>
      <c r="H108" s="20" t="n">
        <v>1</v>
      </c>
      <c r="I108" s="20" t="n">
        <v>1</v>
      </c>
      <c r="J108" s="20" t="n">
        <v>2</v>
      </c>
      <c r="K108" s="20" t="n">
        <v>2</v>
      </c>
      <c r="L108" s="20" t="n">
        <v>2</v>
      </c>
      <c r="M108" s="20" t="n">
        <v>1</v>
      </c>
      <c r="N108" s="20" t="n">
        <v>2</v>
      </c>
      <c r="O108" s="5">
        <f>IF((Finans!K108+Finans!L108)/2&lt;14,5,IF((Finans!K108+Finans!L108)/2&lt;28,4,IF((Finans!K108+Finans!L108)/2&lt;=56,3,IF((Finans!K108+Finans!L108)/2&lt;=90,2,1))))</f>
        <v>2</v>
      </c>
      <c r="P108" s="5">
        <f>IF(Finans!I108/Hedef!$C$7&lt;1,5,IF(Finans!I108/Hedef!$C$7&lt;3,4,IF(Finans!I108/Hedef!$C$7&lt;=5,3,IF(Finans!I108/Hedef!$C$7&lt;=8,2,1))))</f>
        <v>3</v>
      </c>
      <c r="Q108" s="20" t="n">
        <v>5</v>
      </c>
      <c r="R108" s="20" t="n">
        <v>4</v>
      </c>
      <c r="S108" s="20" t="n">
        <v>4</v>
      </c>
      <c r="T108" s="20" t="n">
        <v>4</v>
      </c>
      <c r="U108" s="5">
        <f>IF(Finans!AI108&lt;=0,0,IF(Finans!AI108&lt;=5,5,IF(Finans!AI108&lt;10,4,IF(Finans!AI108&lt;=30,3,IF(Finans!AI108&lt;100,2,1)))))</f>
        <v>1</v>
      </c>
      <c r="V108" s="20" t="n">
        <v>1</v>
      </c>
      <c r="W108" s="20" t="n">
        <v>1</v>
      </c>
      <c r="X108" s="20" t="n">
        <v>2</v>
      </c>
      <c r="Y108" s="20" t="n">
        <v>1</v>
      </c>
      <c r="Z108" s="20" t="n">
        <v>4</v>
      </c>
      <c r="AA108" s="20" t="n">
        <v>5</v>
      </c>
      <c r="AB108" s="20" t="n">
        <v>5</v>
      </c>
      <c r="AD108" s="20" t="n">
        <v>1</v>
      </c>
      <c r="AE108" s="20" t="n">
        <v>1</v>
      </c>
      <c r="AF108" s="20" t="n">
        <v>4</v>
      </c>
      <c r="AG108" s="20" t="n">
        <v>2</v>
      </c>
    </row>
    <row r="109">
      <c r="A109" s="7" t="str">
        <f>Secenekler!A109</f>
        <v>luquit-a</v>
      </c>
      <c r="B109" s="7" t="str">
        <f>Secenekler!C109</f>
        <v>Emlakçı CRM Lite aylık abonelik (bağımsız ofis)</v>
      </c>
      <c r="C109" s="20" t="n">
        <v>3</v>
      </c>
      <c r="D109" s="20" t="n">
        <v>3</v>
      </c>
      <c r="E109" s="20" t="n">
        <v>3</v>
      </c>
      <c r="F109" s="20" t="n">
        <v>3</v>
      </c>
      <c r="G109" s="20" t="n">
        <v>4</v>
      </c>
      <c r="H109" s="20" t="n">
        <v>3</v>
      </c>
      <c r="I109" s="20" t="n">
        <v>2</v>
      </c>
      <c r="J109" s="20" t="n">
        <v>3</v>
      </c>
      <c r="K109" s="20" t="n">
        <v>2</v>
      </c>
      <c r="L109" s="20" t="n">
        <v>2</v>
      </c>
      <c r="M109" s="20" t="n">
        <v>3</v>
      </c>
      <c r="N109" s="20" t="n">
        <v>4</v>
      </c>
      <c r="O109" s="5">
        <f>IF((Finans!K109+Finans!L109)/2&lt;14,5,IF((Finans!K109+Finans!L109)/2&lt;28,4,IF((Finans!K109+Finans!L109)/2&lt;=56,3,IF((Finans!K109+Finans!L109)/2&lt;=90,2,1))))</f>
        <v>1</v>
      </c>
      <c r="P109" s="5">
        <f>IF(Finans!I109/Hedef!$C$7&lt;1,5,IF(Finans!I109/Hedef!$C$7&lt;3,4,IF(Finans!I109/Hedef!$C$7&lt;=5,3,IF(Finans!I109/Hedef!$C$7&lt;=8,2,1))))</f>
        <v>1</v>
      </c>
      <c r="Q109" s="20" t="n">
        <v>2</v>
      </c>
      <c r="R109" s="20" t="n">
        <v>3</v>
      </c>
      <c r="S109" s="20" t="n">
        <v>2</v>
      </c>
      <c r="T109" s="20" t="n">
        <v>2</v>
      </c>
      <c r="U109" s="5">
        <f>IF(Finans!AI109&lt;=0,0,IF(Finans!AI109&lt;=5,5,IF(Finans!AI109&lt;10,4,IF(Finans!AI109&lt;=30,3,IF(Finans!AI109&lt;100,2,1)))))</f>
        <v>1</v>
      </c>
      <c r="V109" s="20" t="n">
        <v>5</v>
      </c>
      <c r="W109" s="20" t="n">
        <v>4</v>
      </c>
      <c r="X109" s="20" t="n">
        <v>3</v>
      </c>
      <c r="Y109" s="20" t="n">
        <v>2</v>
      </c>
      <c r="Z109" s="20" t="n">
        <v>3</v>
      </c>
      <c r="AA109" s="20" t="n">
        <v>3</v>
      </c>
      <c r="AB109" s="20" t="n">
        <v>4</v>
      </c>
      <c r="AD109" s="20" t="n">
        <v>2</v>
      </c>
      <c r="AE109" s="20" t="n">
        <v>2</v>
      </c>
      <c r="AF109" s="20" t="n">
        <v>4</v>
      </c>
      <c r="AG109" s="20" t="n">
        <v>4</v>
      </c>
    </row>
    <row r="110">
      <c r="A110" s="7" t="str">
        <f>Secenekler!A110</f>
        <v>luquit-b</v>
      </c>
      <c r="B110" s="7" t="str">
        <f>Secenekler!C110</f>
        <v>Destekli cam arayüz yolculuk kiti (ajans ve freelancer)</v>
      </c>
      <c r="C110" s="20" t="n">
        <v>2</v>
      </c>
      <c r="D110" s="20" t="n">
        <v>2</v>
      </c>
      <c r="E110" s="20" t="n">
        <v>3</v>
      </c>
      <c r="F110" s="20" t="n">
        <v>3</v>
      </c>
      <c r="G110" s="20" t="n">
        <v>5</v>
      </c>
      <c r="H110" s="20" t="n">
        <v>2</v>
      </c>
      <c r="I110" s="20" t="n">
        <v>1</v>
      </c>
      <c r="J110" s="20" t="n">
        <v>3</v>
      </c>
      <c r="K110" s="20" t="n">
        <v>3</v>
      </c>
      <c r="L110" s="20" t="n">
        <v>2</v>
      </c>
      <c r="M110" s="20" t="n">
        <v>2</v>
      </c>
      <c r="N110" s="20" t="n">
        <v>3</v>
      </c>
      <c r="O110" s="5">
        <f>IF((Finans!K110+Finans!L110)/2&lt;14,5,IF((Finans!K110+Finans!L110)/2&lt;28,4,IF((Finans!K110+Finans!L110)/2&lt;=56,3,IF((Finans!K110+Finans!L110)/2&lt;=90,2,1))))</f>
        <v>2</v>
      </c>
      <c r="P110" s="5">
        <f>IF(Finans!I110/Hedef!$C$7&lt;1,5,IF(Finans!I110/Hedef!$C$7&lt;3,4,IF(Finans!I110/Hedef!$C$7&lt;=5,3,IF(Finans!I110/Hedef!$C$7&lt;=8,2,1))))</f>
        <v>3</v>
      </c>
      <c r="Q110" s="20" t="n">
        <v>5</v>
      </c>
      <c r="R110" s="20" t="n">
        <v>4</v>
      </c>
      <c r="S110" s="20" t="n">
        <v>5</v>
      </c>
      <c r="T110" s="20" t="n">
        <v>4</v>
      </c>
      <c r="U110" s="5">
        <f>IF(Finans!AI110&lt;=0,0,IF(Finans!AI110&lt;=5,5,IF(Finans!AI110&lt;10,4,IF(Finans!AI110&lt;=30,3,IF(Finans!AI110&lt;100,2,1)))))</f>
        <v>1</v>
      </c>
      <c r="V110" s="20" t="n">
        <v>2</v>
      </c>
      <c r="W110" s="20" t="n">
        <v>3</v>
      </c>
      <c r="X110" s="20" t="n">
        <v>3</v>
      </c>
      <c r="Y110" s="20" t="n">
        <v>1</v>
      </c>
      <c r="Z110" s="20" t="n">
        <v>3</v>
      </c>
      <c r="AA110" s="20" t="n">
        <v>4</v>
      </c>
      <c r="AB110" s="20" t="n">
        <v>3</v>
      </c>
      <c r="AD110" s="20" t="n">
        <v>2</v>
      </c>
      <c r="AE110" s="20" t="n">
        <v>1</v>
      </c>
      <c r="AF110" s="20" t="n">
        <v>3</v>
      </c>
      <c r="AG110" s="20" t="n">
        <v>3</v>
      </c>
    </row>
    <row r="111">
      <c r="A111" s="7" t="str">
        <f>Secenekler!A111</f>
        <v>metaframer-kernel-a</v>
      </c>
      <c r="B111" s="7" t="str">
        <f>Secenekler!C111</f>
        <v>tenantkit lisanslı kit (Solo ve Team, küresel)</v>
      </c>
      <c r="C111" s="20" t="n">
        <v>2</v>
      </c>
      <c r="D111" s="20" t="n">
        <v>2</v>
      </c>
      <c r="E111" s="20" t="n">
        <v>4</v>
      </c>
      <c r="F111" s="20" t="n">
        <v>4</v>
      </c>
      <c r="G111" s="20" t="n">
        <v>5</v>
      </c>
      <c r="H111" s="20" t="n">
        <v>3</v>
      </c>
      <c r="I111" s="20" t="n">
        <v>1</v>
      </c>
      <c r="J111" s="20" t="n">
        <v>3</v>
      </c>
      <c r="K111" s="20" t="n">
        <v>3</v>
      </c>
      <c r="L111" s="20" t="n">
        <v>2</v>
      </c>
      <c r="M111" s="20" t="n">
        <v>2</v>
      </c>
      <c r="N111" s="20" t="n">
        <v>3</v>
      </c>
      <c r="O111" s="5">
        <f>IF((Finans!K111+Finans!L111)/2&lt;14,5,IF((Finans!K111+Finans!L111)/2&lt;28,4,IF((Finans!K111+Finans!L111)/2&lt;=56,3,IF((Finans!K111+Finans!L111)/2&lt;=90,2,1))))</f>
        <v>2</v>
      </c>
      <c r="P111" s="5">
        <f>IF(Finans!I111/Hedef!$C$7&lt;1,5,IF(Finans!I111/Hedef!$C$7&lt;3,4,IF(Finans!I111/Hedef!$C$7&lt;=5,3,IF(Finans!I111/Hedef!$C$7&lt;=8,2,1))))</f>
        <v>1</v>
      </c>
      <c r="Q111" s="20" t="n">
        <v>5</v>
      </c>
      <c r="R111" s="20" t="n">
        <v>4</v>
      </c>
      <c r="S111" s="20" t="n">
        <v>4</v>
      </c>
      <c r="T111" s="20" t="n">
        <v>3</v>
      </c>
      <c r="U111" s="5">
        <f>IF(Finans!AI111&lt;=0,0,IF(Finans!AI111&lt;=5,5,IF(Finans!AI111&lt;10,4,IF(Finans!AI111&lt;=30,3,IF(Finans!AI111&lt;100,2,1)))))</f>
        <v>3</v>
      </c>
      <c r="V111" s="20" t="n">
        <v>2</v>
      </c>
      <c r="W111" s="20" t="n">
        <v>3</v>
      </c>
      <c r="X111" s="20" t="n">
        <v>3</v>
      </c>
      <c r="Y111" s="20" t="n">
        <v>2</v>
      </c>
      <c r="Z111" s="20" t="n">
        <v>4</v>
      </c>
      <c r="AA111" s="20" t="n">
        <v>2</v>
      </c>
      <c r="AB111" s="20" t="n">
        <v>5</v>
      </c>
      <c r="AD111" s="20" t="n">
        <v>3</v>
      </c>
      <c r="AE111" s="20" t="n">
        <v>2</v>
      </c>
      <c r="AF111" s="20" t="n">
        <v>4</v>
      </c>
      <c r="AG111" s="20" t="n">
        <v>3</v>
      </c>
    </row>
    <row r="112">
      <c r="A112" s="7" t="str">
        <f>Secenekler!A112</f>
        <v>metaframer-kernel-b</v>
      </c>
      <c r="B112" s="7" t="str">
        <f>Secenekler!C112</f>
        <v>Ajans paketi: Team lisansı ve 1 günlük atölye (Türkiye)</v>
      </c>
      <c r="C112" s="20" t="n">
        <v>2</v>
      </c>
      <c r="D112" s="20" t="n">
        <v>3</v>
      </c>
      <c r="E112" s="20" t="n">
        <v>2</v>
      </c>
      <c r="F112" s="20" t="n">
        <v>3</v>
      </c>
      <c r="G112" s="20" t="n">
        <v>3</v>
      </c>
      <c r="H112" s="20" t="n">
        <v>1</v>
      </c>
      <c r="I112" s="20" t="n">
        <v>2</v>
      </c>
      <c r="J112" s="20" t="n">
        <v>1</v>
      </c>
      <c r="K112" s="20" t="n">
        <v>3</v>
      </c>
      <c r="L112" s="20" t="n">
        <v>2</v>
      </c>
      <c r="M112" s="20" t="n">
        <v>3</v>
      </c>
      <c r="N112" s="20" t="n">
        <v>3</v>
      </c>
      <c r="O112" s="5">
        <f>IF((Finans!K112+Finans!L112)/2&lt;14,5,IF((Finans!K112+Finans!L112)/2&lt;28,4,IF((Finans!K112+Finans!L112)/2&lt;=56,3,IF((Finans!K112+Finans!L112)/2&lt;=90,2,1))))</f>
        <v>1</v>
      </c>
      <c r="P112" s="5">
        <f>IF(Finans!I112/Hedef!$C$7&lt;1,5,IF(Finans!I112/Hedef!$C$7&lt;3,4,IF(Finans!I112/Hedef!$C$7&lt;=5,3,IF(Finans!I112/Hedef!$C$7&lt;=8,2,1))))</f>
        <v>1</v>
      </c>
      <c r="Q112" s="20" t="n">
        <v>3</v>
      </c>
      <c r="R112" s="20" t="n">
        <v>3</v>
      </c>
      <c r="S112" s="20" t="n">
        <v>1</v>
      </c>
      <c r="T112" s="20" t="n">
        <v>3</v>
      </c>
      <c r="U112" s="5">
        <f>IF(Finans!AI112&lt;=0,0,IF(Finans!AI112&lt;=5,5,IF(Finans!AI112&lt;10,4,IF(Finans!AI112&lt;=30,3,IF(Finans!AI112&lt;100,2,1)))))</f>
        <v>5</v>
      </c>
      <c r="V112" s="20" t="n">
        <v>2</v>
      </c>
      <c r="W112" s="20" t="n">
        <v>2</v>
      </c>
      <c r="X112" s="20" t="n">
        <v>3</v>
      </c>
      <c r="Y112" s="20" t="n">
        <v>2</v>
      </c>
      <c r="Z112" s="20" t="n">
        <v>2</v>
      </c>
      <c r="AA112" s="20" t="n">
        <v>2</v>
      </c>
      <c r="AB112" s="20" t="n">
        <v>3</v>
      </c>
      <c r="AD112" s="20" t="n">
        <v>2</v>
      </c>
      <c r="AE112" s="20" t="n">
        <v>2</v>
      </c>
      <c r="AF112" s="20" t="n">
        <v>2</v>
      </c>
      <c r="AG112" s="20" t="n">
        <v>3</v>
      </c>
    </row>
    <row r="113">
      <c r="A113" s="7" t="str">
        <f>Secenekler!A113</f>
        <v>metaframer-kernel-c</v>
      </c>
      <c r="B113" s="7" t="str">
        <f>Secenekler!C113</f>
        <v>Tek eylem çok kiracılı güvenlik entegrasyon paketi</v>
      </c>
      <c r="C113" s="20" t="n">
        <v>3</v>
      </c>
      <c r="D113" s="20" t="n">
        <v>2</v>
      </c>
      <c r="E113" s="20" t="n">
        <v>2</v>
      </c>
      <c r="F113" s="20" t="n">
        <v>3</v>
      </c>
      <c r="G113" s="20" t="n">
        <v>2</v>
      </c>
      <c r="H113" s="20" t="n">
        <v>1</v>
      </c>
      <c r="I113" s="20" t="n">
        <v>1</v>
      </c>
      <c r="J113" s="20" t="n">
        <v>2</v>
      </c>
      <c r="K113" s="20" t="n">
        <v>2</v>
      </c>
      <c r="L113" s="20" t="n">
        <v>3</v>
      </c>
      <c r="M113" s="20" t="n">
        <v>2</v>
      </c>
      <c r="N113" s="20" t="n">
        <v>2</v>
      </c>
      <c r="O113" s="5">
        <f>IF((Finans!K113+Finans!L113)/2&lt;14,5,IF((Finans!K113+Finans!L113)/2&lt;28,4,IF((Finans!K113+Finans!L113)/2&lt;=56,3,IF((Finans!K113+Finans!L113)/2&lt;=90,2,1))))</f>
        <v>2</v>
      </c>
      <c r="P113" s="5">
        <f>IF(Finans!I113/Hedef!$C$7&lt;1,5,IF(Finans!I113/Hedef!$C$7&lt;3,4,IF(Finans!I113/Hedef!$C$7&lt;=5,3,IF(Finans!I113/Hedef!$C$7&lt;=8,2,1))))</f>
        <v>3</v>
      </c>
      <c r="Q113" s="20" t="n">
        <v>2</v>
      </c>
      <c r="R113" s="20" t="n">
        <v>2</v>
      </c>
      <c r="S113" s="20" t="n">
        <v>1</v>
      </c>
      <c r="T113" s="20" t="n">
        <v>2</v>
      </c>
      <c r="U113" s="5">
        <f>IF(Finans!AI113&lt;=0,0,IF(Finans!AI113&lt;=5,5,IF(Finans!AI113&lt;10,4,IF(Finans!AI113&lt;=30,3,IF(Finans!AI113&lt;100,2,1)))))</f>
        <v>5</v>
      </c>
      <c r="V113" s="20" t="n">
        <v>2</v>
      </c>
      <c r="W113" s="20" t="n">
        <v>2</v>
      </c>
      <c r="X113" s="20" t="n">
        <v>3</v>
      </c>
      <c r="Y113" s="20" t="n">
        <v>2</v>
      </c>
      <c r="Z113" s="20" t="n">
        <v>2</v>
      </c>
      <c r="AA113" s="20" t="n">
        <v>2</v>
      </c>
      <c r="AB113" s="20" t="n">
        <v>2</v>
      </c>
      <c r="AD113" s="20" t="n"/>
      <c r="AE113" s="20" t="n">
        <v>2</v>
      </c>
      <c r="AF113" s="20" t="n">
        <v>1</v>
      </c>
      <c r="AG113" s="20" t="n">
        <v>3</v>
      </c>
    </row>
    <row r="114">
      <c r="A114" s="7" t="str">
        <f>Secenekler!A114</f>
        <v>alan-adi-bulucu-a</v>
      </c>
      <c r="B114" s="7" t="str">
        <f>Secenekler!C114</f>
        <v>Proje paketi: Türkçe puanlı boş .com kısa liste aracı</v>
      </c>
      <c r="C114" s="20" t="n">
        <v>2</v>
      </c>
      <c r="D114" s="20" t="n">
        <v>3</v>
      </c>
      <c r="E114" s="20" t="n">
        <v>4</v>
      </c>
      <c r="F114" s="20" t="n">
        <v>3</v>
      </c>
      <c r="G114" s="20" t="n">
        <v>5</v>
      </c>
      <c r="H114" s="20" t="n">
        <v>1</v>
      </c>
      <c r="I114" s="20" t="n">
        <v>2</v>
      </c>
      <c r="J114" s="20" t="n">
        <v>3</v>
      </c>
      <c r="K114" s="20" t="n">
        <v>3</v>
      </c>
      <c r="L114" s="20" t="n">
        <v>2</v>
      </c>
      <c r="M114" s="20" t="n">
        <v>2</v>
      </c>
      <c r="N114" s="20" t="n">
        <v>3</v>
      </c>
      <c r="O114" s="5">
        <f>IF((Finans!K114+Finans!L114)/2&lt;14,5,IF((Finans!K114+Finans!L114)/2&lt;28,4,IF((Finans!K114+Finans!L114)/2&lt;=56,3,IF((Finans!K114+Finans!L114)/2&lt;=90,2,1))))</f>
        <v>3</v>
      </c>
      <c r="P114" s="5">
        <f>IF(Finans!I114/Hedef!$C$7&lt;1,5,IF(Finans!I114/Hedef!$C$7&lt;3,4,IF(Finans!I114/Hedef!$C$7&lt;=5,3,IF(Finans!I114/Hedef!$C$7&lt;=8,2,1))))</f>
        <v>3</v>
      </c>
      <c r="Q114" s="20" t="n">
        <v>5</v>
      </c>
      <c r="R114" s="20" t="n">
        <v>5</v>
      </c>
      <c r="S114" s="20" t="n">
        <v>4</v>
      </c>
      <c r="T114" s="20" t="n">
        <v>5</v>
      </c>
      <c r="U114" s="5">
        <f>IF(Finans!AI114&lt;=0,0,IF(Finans!AI114&lt;=5,5,IF(Finans!AI114&lt;10,4,IF(Finans!AI114&lt;=30,3,IF(Finans!AI114&lt;100,2,1)))))</f>
        <v>1</v>
      </c>
      <c r="V114" s="20" t="n">
        <v>2</v>
      </c>
      <c r="W114" s="20" t="n">
        <v>2</v>
      </c>
      <c r="X114" s="20" t="n">
        <v>3</v>
      </c>
      <c r="Y114" s="20" t="n">
        <v>2</v>
      </c>
      <c r="Z114" s="20" t="n">
        <v>4</v>
      </c>
      <c r="AA114" s="20" t="n">
        <v>3</v>
      </c>
      <c r="AB114" s="20" t="n">
        <v>5</v>
      </c>
      <c r="AD114" s="20" t="n">
        <v>1</v>
      </c>
      <c r="AE114" s="20" t="n">
        <v>1</v>
      </c>
      <c r="AF114" s="20" t="n">
        <v>5</v>
      </c>
      <c r="AG114" s="20" t="n">
        <v>3</v>
      </c>
    </row>
    <row r="115">
      <c r="A115" s="7" t="str">
        <f>Secenekler!A115</f>
        <v>alan-adi-bulucu-b</v>
      </c>
      <c r="B115" s="7" t="str">
        <f>Secenekler!C115</f>
        <v>Ajans yıllık paketi: puanlı kısa liste ve müşteri teslim şablonu</v>
      </c>
      <c r="C115" s="20" t="n">
        <v>2</v>
      </c>
      <c r="D115" s="20" t="n">
        <v>3</v>
      </c>
      <c r="E115" s="20" t="n">
        <v>3</v>
      </c>
      <c r="F115" s="20" t="n">
        <v>3</v>
      </c>
      <c r="G115" s="20" t="n">
        <v>4</v>
      </c>
      <c r="H115" s="20" t="n">
        <v>1</v>
      </c>
      <c r="I115" s="20" t="n">
        <v>1</v>
      </c>
      <c r="J115" s="20" t="n">
        <v>2</v>
      </c>
      <c r="K115" s="20" t="n">
        <v>1</v>
      </c>
      <c r="L115" s="20" t="n">
        <v>2</v>
      </c>
      <c r="M115" s="20" t="n">
        <v>3</v>
      </c>
      <c r="N115" s="20" t="n">
        <v>3</v>
      </c>
      <c r="O115" s="5">
        <f>IF((Finans!K115+Finans!L115)/2&lt;14,5,IF((Finans!K115+Finans!L115)/2&lt;28,4,IF((Finans!K115+Finans!L115)/2&lt;=56,3,IF((Finans!K115+Finans!L115)/2&lt;=90,2,1))))</f>
        <v>2</v>
      </c>
      <c r="P115" s="5">
        <f>IF(Finans!I115/Hedef!$C$7&lt;1,5,IF(Finans!I115/Hedef!$C$7&lt;3,4,IF(Finans!I115/Hedef!$C$7&lt;=5,3,IF(Finans!I115/Hedef!$C$7&lt;=8,2,1))))</f>
        <v>3</v>
      </c>
      <c r="Q115" s="20" t="n">
        <v>3</v>
      </c>
      <c r="R115" s="20" t="n">
        <v>4</v>
      </c>
      <c r="S115" s="20" t="n">
        <v>3</v>
      </c>
      <c r="T115" s="20" t="n">
        <v>4</v>
      </c>
      <c r="U115" s="5">
        <f>IF(Finans!AI115&lt;=0,0,IF(Finans!AI115&lt;=5,5,IF(Finans!AI115&lt;10,4,IF(Finans!AI115&lt;=30,3,IF(Finans!AI115&lt;100,2,1)))))</f>
        <v>1</v>
      </c>
      <c r="V115" s="20" t="n">
        <v>3</v>
      </c>
      <c r="W115" s="20" t="n">
        <v>2</v>
      </c>
      <c r="X115" s="20" t="n">
        <v>2</v>
      </c>
      <c r="Y115" s="20" t="n">
        <v>2</v>
      </c>
      <c r="Z115" s="20" t="n">
        <v>4</v>
      </c>
      <c r="AA115" s="20" t="n">
        <v>3</v>
      </c>
      <c r="AB115" s="20" t="n">
        <v>4</v>
      </c>
      <c r="AD115" s="20" t="n">
        <v>1</v>
      </c>
      <c r="AE115" s="20" t="n">
        <v>1</v>
      </c>
      <c r="AF115" s="20" t="n">
        <v>4</v>
      </c>
      <c r="AG115" s="20" t="n">
        <v>3</v>
      </c>
    </row>
    <row r="116">
      <c r="A116" s="7" t="str">
        <f>Secenekler!A116</f>
        <v>alan-adi-bulucu-c</v>
      </c>
      <c r="B116" s="7" t="str">
        <f>Secenekler!C116</f>
        <v>Elle teslim: 10 adaylık güncel boş .com karar dosyası</v>
      </c>
      <c r="C116" s="20" t="n">
        <v>2</v>
      </c>
      <c r="D116" s="20" t="n">
        <v>3</v>
      </c>
      <c r="E116" s="20" t="n">
        <v>3</v>
      </c>
      <c r="F116" s="20" t="n">
        <v>3</v>
      </c>
      <c r="G116" s="20" t="n">
        <v>4</v>
      </c>
      <c r="H116" s="20" t="n">
        <v>1</v>
      </c>
      <c r="I116" s="20" t="n">
        <v>2</v>
      </c>
      <c r="J116" s="20" t="n">
        <v>2</v>
      </c>
      <c r="K116" s="20" t="n">
        <v>3</v>
      </c>
      <c r="L116" s="20" t="n">
        <v>1</v>
      </c>
      <c r="M116" s="20" t="n">
        <v>2</v>
      </c>
      <c r="N116" s="20" t="n">
        <v>2</v>
      </c>
      <c r="O116" s="5">
        <f>IF((Finans!K116+Finans!L116)/2&lt;14,5,IF((Finans!K116+Finans!L116)/2&lt;28,4,IF((Finans!K116+Finans!L116)/2&lt;=56,3,IF((Finans!K116+Finans!L116)/2&lt;=90,2,1))))</f>
        <v>4</v>
      </c>
      <c r="P116" s="5">
        <f>IF(Finans!I116/Hedef!$C$7&lt;1,5,IF(Finans!I116/Hedef!$C$7&lt;3,4,IF(Finans!I116/Hedef!$C$7&lt;=5,3,IF(Finans!I116/Hedef!$C$7&lt;=8,2,1))))</f>
        <v>5</v>
      </c>
      <c r="Q116" s="20" t="n">
        <v>4</v>
      </c>
      <c r="R116" s="20" t="n">
        <v>3</v>
      </c>
      <c r="S116" s="20" t="n">
        <v>2</v>
      </c>
      <c r="T116" s="20" t="n">
        <v>5</v>
      </c>
      <c r="U116" s="5">
        <f>IF(Finans!AI116&lt;=0,0,IF(Finans!AI116&lt;=5,5,IF(Finans!AI116&lt;10,4,IF(Finans!AI116&lt;=30,3,IF(Finans!AI116&lt;100,2,1)))))</f>
        <v>1</v>
      </c>
      <c r="V116" s="20" t="n">
        <v>2</v>
      </c>
      <c r="W116" s="20" t="n">
        <v>1</v>
      </c>
      <c r="X116" s="20" t="n">
        <v>3</v>
      </c>
      <c r="Y116" s="20" t="n">
        <v>2</v>
      </c>
      <c r="Z116" s="20" t="n">
        <v>3</v>
      </c>
      <c r="AA116" s="20" t="n">
        <v>3</v>
      </c>
      <c r="AB116" s="20" t="n">
        <v>4</v>
      </c>
      <c r="AD116" s="20" t="n">
        <v>1</v>
      </c>
      <c r="AE116" s="20" t="n">
        <v>1</v>
      </c>
      <c r="AF116" s="20" t="n">
        <v>1</v>
      </c>
      <c r="AG116" s="20" t="n">
        <v>3</v>
      </c>
    </row>
    <row r="117">
      <c r="A117" s="7" t="str">
        <f>Secenekler!A117</f>
        <v>projector-a</v>
      </c>
      <c r="B117" s="7" t="str">
        <f>Secenekler!C117</f>
        <v>Türkçe SaaS mimarisi e-kitabı ön satışı</v>
      </c>
      <c r="C117" s="20" t="n">
        <v>2</v>
      </c>
      <c r="D117" s="20" t="n">
        <v>2</v>
      </c>
      <c r="E117" s="20" t="n">
        <v>3</v>
      </c>
      <c r="F117" s="20" t="n">
        <v>3</v>
      </c>
      <c r="G117" s="20" t="n">
        <v>5</v>
      </c>
      <c r="H117" s="20" t="n">
        <v>2</v>
      </c>
      <c r="I117" s="20" t="n">
        <v>2</v>
      </c>
      <c r="J117" s="20" t="n">
        <v>2</v>
      </c>
      <c r="K117" s="20" t="n">
        <v>3</v>
      </c>
      <c r="L117" s="20" t="n">
        <v>2</v>
      </c>
      <c r="M117" s="20" t="n">
        <v>3</v>
      </c>
      <c r="N117" s="20" t="n">
        <v>3</v>
      </c>
      <c r="O117" s="5">
        <f>IF((Finans!K117+Finans!L117)/2&lt;14,5,IF((Finans!K117+Finans!L117)/2&lt;28,4,IF((Finans!K117+Finans!L117)/2&lt;=56,3,IF((Finans!K117+Finans!L117)/2&lt;=90,2,1))))</f>
        <v>2</v>
      </c>
      <c r="P117" s="5">
        <f>IF(Finans!I117/Hedef!$C$7&lt;1,5,IF(Finans!I117/Hedef!$C$7&lt;3,4,IF(Finans!I117/Hedef!$C$7&lt;=5,3,IF(Finans!I117/Hedef!$C$7&lt;=8,2,1))))</f>
        <v>2</v>
      </c>
      <c r="Q117" s="20" t="n">
        <v>5</v>
      </c>
      <c r="R117" s="20" t="n">
        <v>4</v>
      </c>
      <c r="S117" s="20" t="n">
        <v>4</v>
      </c>
      <c r="T117" s="20" t="n">
        <v>5</v>
      </c>
      <c r="U117" s="5">
        <f>IF(Finans!AI117&lt;=0,0,IF(Finans!AI117&lt;=5,5,IF(Finans!AI117&lt;10,4,IF(Finans!AI117&lt;=30,3,IF(Finans!AI117&lt;100,2,1)))))</f>
        <v>1</v>
      </c>
      <c r="V117" s="20" t="n">
        <v>1</v>
      </c>
      <c r="W117" s="20" t="n">
        <v>2</v>
      </c>
      <c r="X117" s="20" t="n">
        <v>3</v>
      </c>
      <c r="Y117" s="20" t="n">
        <v>2</v>
      </c>
      <c r="Z117" s="20" t="n">
        <v>5</v>
      </c>
      <c r="AA117" s="20" t="n">
        <v>5</v>
      </c>
      <c r="AB117" s="20" t="n">
        <v>5</v>
      </c>
      <c r="AD117" s="20" t="n">
        <v>2</v>
      </c>
      <c r="AE117" s="20" t="n">
        <v>1</v>
      </c>
      <c r="AF117" s="20" t="n">
        <v>4</v>
      </c>
      <c r="AG117" s="20" t="n">
        <v>4</v>
      </c>
    </row>
    <row r="118">
      <c r="A118" s="7" t="str">
        <f>Secenekler!A118</f>
        <v>projector-b</v>
      </c>
      <c r="B118" s="7" t="str">
        <f>Secenekler!C118</f>
        <v>İki günlük ekip atölyesi: Kurumsal SaaS mimarisi</v>
      </c>
      <c r="C118" s="20" t="n">
        <v>3</v>
      </c>
      <c r="D118" s="20" t="n">
        <v>3</v>
      </c>
      <c r="E118" s="20" t="n">
        <v>2</v>
      </c>
      <c r="F118" s="20" t="n">
        <v>3</v>
      </c>
      <c r="G118" s="20" t="n">
        <v>3</v>
      </c>
      <c r="H118" s="20" t="n">
        <v>1</v>
      </c>
      <c r="I118" s="20" t="n">
        <v>2</v>
      </c>
      <c r="J118" s="20" t="n">
        <v>1</v>
      </c>
      <c r="K118" s="20" t="n">
        <v>3</v>
      </c>
      <c r="L118" s="20" t="n">
        <v>1</v>
      </c>
      <c r="M118" s="20" t="n">
        <v>3</v>
      </c>
      <c r="N118" s="20" t="n">
        <v>3</v>
      </c>
      <c r="O118" s="5">
        <f>IF((Finans!K118+Finans!L118)/2&lt;14,5,IF((Finans!K118+Finans!L118)/2&lt;28,4,IF((Finans!K118+Finans!L118)/2&lt;=56,3,IF((Finans!K118+Finans!L118)/2&lt;=90,2,1))))</f>
        <v>1</v>
      </c>
      <c r="P118" s="5">
        <f>IF(Finans!I118/Hedef!$C$7&lt;1,5,IF(Finans!I118/Hedef!$C$7&lt;3,4,IF(Finans!I118/Hedef!$C$7&lt;=5,3,IF(Finans!I118/Hedef!$C$7&lt;=8,2,1))))</f>
        <v>3</v>
      </c>
      <c r="Q118" s="20" t="n">
        <v>3</v>
      </c>
      <c r="R118" s="20" t="n">
        <v>3</v>
      </c>
      <c r="S118" s="20" t="n">
        <v>1</v>
      </c>
      <c r="T118" s="20" t="n">
        <v>4</v>
      </c>
      <c r="U118" s="5">
        <f>IF(Finans!AI118&lt;=0,0,IF(Finans!AI118&lt;=5,5,IF(Finans!AI118&lt;10,4,IF(Finans!AI118&lt;=30,3,IF(Finans!AI118&lt;100,2,1)))))</f>
        <v>0</v>
      </c>
      <c r="V118" s="20" t="n">
        <v>2</v>
      </c>
      <c r="W118" s="20" t="n">
        <v>2</v>
      </c>
      <c r="X118" s="20" t="n">
        <v>3</v>
      </c>
      <c r="Y118" s="20" t="n">
        <v>3</v>
      </c>
      <c r="Z118" s="20" t="n">
        <v>2</v>
      </c>
      <c r="AA118" s="20" t="n">
        <v>4</v>
      </c>
      <c r="AB118" s="20" t="n">
        <v>3</v>
      </c>
      <c r="AD118" s="20" t="n">
        <v>1</v>
      </c>
      <c r="AE118" s="20" t="n">
        <v>1</v>
      </c>
      <c r="AF118" s="20" t="n">
        <v>1</v>
      </c>
      <c r="AG118" s="20" t="n">
        <v>3</v>
      </c>
    </row>
    <row r="119">
      <c r="A119" s="7" t="str">
        <f>Secenekler!A119</f>
        <v>projector-c</v>
      </c>
      <c r="B119" s="7" t="str">
        <f>Secenekler!C119</f>
        <v>Kaynaklı teslim portalı: 30 dokümanlık migration pilotu</v>
      </c>
      <c r="C119" s="20" t="n">
        <v>2</v>
      </c>
      <c r="D119" s="20" t="n">
        <v>3</v>
      </c>
      <c r="E119" s="20" t="n">
        <v>2</v>
      </c>
      <c r="F119" s="20" t="n">
        <v>3</v>
      </c>
      <c r="G119" s="20" t="n">
        <v>3</v>
      </c>
      <c r="H119" s="20" t="n">
        <v>1</v>
      </c>
      <c r="I119" s="20" t="n">
        <v>1</v>
      </c>
      <c r="J119" s="20" t="n">
        <v>2</v>
      </c>
      <c r="K119" s="20" t="n">
        <v>2</v>
      </c>
      <c r="L119" s="20" t="n">
        <v>3</v>
      </c>
      <c r="M119" s="20" t="n">
        <v>2</v>
      </c>
      <c r="N119" s="20" t="n">
        <v>2</v>
      </c>
      <c r="O119" s="5">
        <f>IF((Finans!K119+Finans!L119)/2&lt;14,5,IF((Finans!K119+Finans!L119)/2&lt;28,4,IF((Finans!K119+Finans!L119)/2&lt;=56,3,IF((Finans!K119+Finans!L119)/2&lt;=90,2,1))))</f>
        <v>1</v>
      </c>
      <c r="P119" s="5">
        <f>IF(Finans!I119/Hedef!$C$7&lt;1,5,IF(Finans!I119/Hedef!$C$7&lt;3,4,IF(Finans!I119/Hedef!$C$7&lt;=5,3,IF(Finans!I119/Hedef!$C$7&lt;=8,2,1))))</f>
        <v>2</v>
      </c>
      <c r="Q119" s="20" t="n">
        <v>2</v>
      </c>
      <c r="R119" s="20" t="n">
        <v>3</v>
      </c>
      <c r="S119" s="20" t="n">
        <v>1</v>
      </c>
      <c r="T119" s="20" t="n">
        <v>2</v>
      </c>
      <c r="U119" s="5">
        <f>IF(Finans!AI119&lt;=0,0,IF(Finans!AI119&lt;=5,5,IF(Finans!AI119&lt;10,4,IF(Finans!AI119&lt;=30,3,IF(Finans!AI119&lt;100,2,1)))))</f>
        <v>3</v>
      </c>
      <c r="V119" s="20" t="n">
        <v>2</v>
      </c>
      <c r="W119" s="20" t="n">
        <v>2</v>
      </c>
      <c r="X119" s="20" t="n">
        <v>2</v>
      </c>
      <c r="Y119" s="20" t="n">
        <v>2</v>
      </c>
      <c r="Z119" s="20" t="n">
        <v>2</v>
      </c>
      <c r="AA119" s="20" t="n">
        <v>3</v>
      </c>
      <c r="AB119" s="20" t="n">
        <v>2</v>
      </c>
      <c r="AD119" s="20" t="n"/>
      <c r="AE119" s="20" t="n">
        <v>2</v>
      </c>
      <c r="AF119" s="20" t="n">
        <v>3</v>
      </c>
      <c r="AG119" s="20" t="n">
        <v>3</v>
      </c>
    </row>
    <row r="120">
      <c r="A120" s="7" t="str">
        <f>Secenekler!A120</f>
        <v>kurucu-pusulasi-a</v>
      </c>
      <c r="B120" s="7" t="str">
        <f>Secenekler!C120</f>
        <v>Kurucu Pusulası şablonu, bireysel satış</v>
      </c>
      <c r="C120" s="20" t="n">
        <v>2</v>
      </c>
      <c r="D120" s="20" t="n">
        <v>2</v>
      </c>
      <c r="E120" s="20" t="n">
        <v>2</v>
      </c>
      <c r="F120" s="20" t="n">
        <v>3</v>
      </c>
      <c r="G120" s="20" t="n">
        <v>5</v>
      </c>
      <c r="H120" s="20" t="n">
        <v>2</v>
      </c>
      <c r="I120" s="20" t="n">
        <v>2</v>
      </c>
      <c r="J120" s="20" t="n">
        <v>2</v>
      </c>
      <c r="K120" s="20" t="n">
        <v>3</v>
      </c>
      <c r="L120" s="20" t="n">
        <v>2</v>
      </c>
      <c r="M120" s="20" t="n">
        <v>2</v>
      </c>
      <c r="N120" s="20" t="n">
        <v>3</v>
      </c>
      <c r="O120" s="5">
        <f>IF((Finans!K120+Finans!L120)/2&lt;14,5,IF((Finans!K120+Finans!L120)/2&lt;28,4,IF((Finans!K120+Finans!L120)/2&lt;=56,3,IF((Finans!K120+Finans!L120)/2&lt;=90,2,1))))</f>
        <v>3</v>
      </c>
      <c r="P120" s="5">
        <f>IF(Finans!I120/Hedef!$C$7&lt;1,5,IF(Finans!I120/Hedef!$C$7&lt;3,4,IF(Finans!I120/Hedef!$C$7&lt;=5,3,IF(Finans!I120/Hedef!$C$7&lt;=8,2,1))))</f>
        <v>3</v>
      </c>
      <c r="Q120" s="20" t="n">
        <v>5</v>
      </c>
      <c r="R120" s="20" t="n">
        <v>4</v>
      </c>
      <c r="S120" s="20" t="n">
        <v>5</v>
      </c>
      <c r="T120" s="20" t="n">
        <v>4</v>
      </c>
      <c r="U120" s="5">
        <f>IF(Finans!AI120&lt;=0,0,IF(Finans!AI120&lt;=5,5,IF(Finans!AI120&lt;10,4,IF(Finans!AI120&lt;=30,3,IF(Finans!AI120&lt;100,2,1)))))</f>
        <v>1</v>
      </c>
      <c r="V120" s="20" t="n">
        <v>2</v>
      </c>
      <c r="W120" s="20" t="n">
        <v>2</v>
      </c>
      <c r="X120" s="20" t="n">
        <v>3</v>
      </c>
      <c r="Y120" s="20" t="n">
        <v>2</v>
      </c>
      <c r="Z120" s="20" t="n">
        <v>5</v>
      </c>
      <c r="AA120" s="20" t="n">
        <v>4</v>
      </c>
      <c r="AB120" s="20" t="n">
        <v>5</v>
      </c>
      <c r="AD120" s="20" t="n">
        <v>1</v>
      </c>
      <c r="AE120" s="20" t="n">
        <v>1</v>
      </c>
      <c r="AF120" s="20" t="n">
        <v>4</v>
      </c>
      <c r="AG120" s="20" t="n">
        <v>4</v>
      </c>
    </row>
    <row r="121">
      <c r="A121" s="7" t="str">
        <f>Secenekler!A121</f>
        <v>kurucu-pusulasi-b</v>
      </c>
      <c r="B121" s="7" t="str">
        <f>Secenekler!C121</f>
        <v>Mentor sürümü, kuluçka programlarına kurum lisansı</v>
      </c>
      <c r="C121" s="20" t="n">
        <v>2</v>
      </c>
      <c r="D121" s="20" t="n">
        <v>3</v>
      </c>
      <c r="E121" s="20" t="n">
        <v>2</v>
      </c>
      <c r="F121" s="20" t="n">
        <v>3</v>
      </c>
      <c r="G121" s="20" t="n">
        <v>2</v>
      </c>
      <c r="H121" s="20" t="n">
        <v>1</v>
      </c>
      <c r="I121" s="20" t="n">
        <v>1</v>
      </c>
      <c r="J121" s="20" t="n">
        <v>1</v>
      </c>
      <c r="K121" s="20" t="n">
        <v>1</v>
      </c>
      <c r="L121" s="20" t="n">
        <v>2</v>
      </c>
      <c r="M121" s="20" t="n">
        <v>3</v>
      </c>
      <c r="N121" s="20" t="n">
        <v>2</v>
      </c>
      <c r="O121" s="5">
        <f>IF((Finans!K121+Finans!L121)/2&lt;14,5,IF((Finans!K121+Finans!L121)/2&lt;28,4,IF((Finans!K121+Finans!L121)/2&lt;=56,3,IF((Finans!K121+Finans!L121)/2&lt;=90,2,1))))</f>
        <v>2</v>
      </c>
      <c r="P121" s="5">
        <f>IF(Finans!I121/Hedef!$C$7&lt;1,5,IF(Finans!I121/Hedef!$C$7&lt;3,4,IF(Finans!I121/Hedef!$C$7&lt;=5,3,IF(Finans!I121/Hedef!$C$7&lt;=8,2,1))))</f>
        <v>4</v>
      </c>
      <c r="Q121" s="20" t="n">
        <v>2</v>
      </c>
      <c r="R121" s="20" t="n">
        <v>3</v>
      </c>
      <c r="S121" s="20" t="n">
        <v>2</v>
      </c>
      <c r="T121" s="20" t="n">
        <v>4</v>
      </c>
      <c r="U121" s="5">
        <f>IF(Finans!AI121&lt;=0,0,IF(Finans!AI121&lt;=5,5,IF(Finans!AI121&lt;10,4,IF(Finans!AI121&lt;=30,3,IF(Finans!AI121&lt;100,2,1)))))</f>
        <v>1</v>
      </c>
      <c r="V121" s="20" t="n">
        <v>3</v>
      </c>
      <c r="W121" s="20" t="n">
        <v>3</v>
      </c>
      <c r="X121" s="20" t="n">
        <v>3</v>
      </c>
      <c r="Y121" s="20" t="n">
        <v>2</v>
      </c>
      <c r="Z121" s="20" t="n">
        <v>3</v>
      </c>
      <c r="AA121" s="20" t="n">
        <v>4</v>
      </c>
      <c r="AB121" s="20" t="n">
        <v>3</v>
      </c>
      <c r="AD121" s="20" t="n">
        <v>1</v>
      </c>
      <c r="AE121" s="20" t="n">
        <v>1</v>
      </c>
      <c r="AF121" s="20" t="n">
        <v>2</v>
      </c>
      <c r="AG121" s="20" t="n">
        <v>3</v>
      </c>
    </row>
    <row r="122">
      <c r="A122" s="7" t="str">
        <f>Secenekler!A122</f>
        <v>kurucu-pusulasi-c</v>
      </c>
      <c r="B122" s="7" t="str">
        <f>Secenekler!C122</f>
        <v>Kitap Atlası, çevirmen künyeli ortaklık sitesi</v>
      </c>
      <c r="C122" s="20" t="n">
        <v>2</v>
      </c>
      <c r="D122" s="20" t="n">
        <v>2</v>
      </c>
      <c r="E122" s="20" t="n">
        <v>3</v>
      </c>
      <c r="F122" s="20" t="n">
        <v>3</v>
      </c>
      <c r="G122" s="20" t="n">
        <v>3</v>
      </c>
      <c r="H122" s="20" t="n">
        <v>1</v>
      </c>
      <c r="I122" s="20" t="n">
        <v>1</v>
      </c>
      <c r="J122" s="20" t="n">
        <v>3</v>
      </c>
      <c r="K122" s="20" t="n">
        <v>3</v>
      </c>
      <c r="L122" s="20" t="n">
        <v>2</v>
      </c>
      <c r="M122" s="20" t="n">
        <v>2</v>
      </c>
      <c r="N122" s="20" t="n">
        <v>2</v>
      </c>
      <c r="O122" s="5">
        <f>IF((Finans!K122+Finans!L122)/2&lt;14,5,IF((Finans!K122+Finans!L122)/2&lt;28,4,IF((Finans!K122+Finans!L122)/2&lt;=56,3,IF((Finans!K122+Finans!L122)/2&lt;=90,2,1))))</f>
        <v>1</v>
      </c>
      <c r="P122" s="5">
        <f>IF(Finans!I122/Hedef!$C$7&lt;1,5,IF(Finans!I122/Hedef!$C$7&lt;3,4,IF(Finans!I122/Hedef!$C$7&lt;=5,3,IF(Finans!I122/Hedef!$C$7&lt;=8,2,1))))</f>
        <v>5</v>
      </c>
      <c r="Q122" s="20" t="n">
        <v>4</v>
      </c>
      <c r="R122" s="20" t="n">
        <v>5</v>
      </c>
      <c r="S122" s="20" t="n">
        <v>5</v>
      </c>
      <c r="T122" s="20" t="n">
        <v>5</v>
      </c>
      <c r="U122" s="5">
        <f>IF(Finans!AI122&lt;=0,0,IF(Finans!AI122&lt;=5,5,IF(Finans!AI122&lt;10,4,IF(Finans!AI122&lt;=30,3,IF(Finans!AI122&lt;100,2,1)))))</f>
        <v>1</v>
      </c>
      <c r="V122" s="20" t="n">
        <v>3</v>
      </c>
      <c r="W122" s="20" t="n">
        <v>2</v>
      </c>
      <c r="X122" s="20" t="n">
        <v>3</v>
      </c>
      <c r="Y122" s="20" t="n">
        <v>3</v>
      </c>
      <c r="Z122" s="20" t="n">
        <v>5</v>
      </c>
      <c r="AA122" s="20" t="n">
        <v>4</v>
      </c>
      <c r="AB122" s="20" t="n">
        <v>5</v>
      </c>
      <c r="AD122" s="20" t="n">
        <v>2</v>
      </c>
      <c r="AE122" s="20" t="n">
        <v>1</v>
      </c>
      <c r="AF122" s="20" t="n">
        <v>4</v>
      </c>
      <c r="AG122" s="20" t="n">
        <v>3</v>
      </c>
    </row>
    <row r="123">
      <c r="A123" s="7" t="str">
        <f>Secenekler!A123</f>
        <v>signator-a</v>
      </c>
      <c r="B123" s="7" t="str">
        <f>Secenekler!C123</f>
        <v>Ajans paketi: white-label toplu imza ve KVKK altbilgi</v>
      </c>
      <c r="C123" s="20" t="n">
        <v>2</v>
      </c>
      <c r="D123" s="20" t="n">
        <v>3</v>
      </c>
      <c r="E123" s="20" t="n">
        <v>2</v>
      </c>
      <c r="F123" s="20" t="n">
        <v>3</v>
      </c>
      <c r="G123" s="20" t="n">
        <v>3</v>
      </c>
      <c r="H123" s="20" t="n">
        <v>1</v>
      </c>
      <c r="I123" s="20" t="n">
        <v>2</v>
      </c>
      <c r="J123" s="20" t="n">
        <v>2</v>
      </c>
      <c r="K123" s="20" t="n">
        <v>2</v>
      </c>
      <c r="L123" s="20" t="n">
        <v>2</v>
      </c>
      <c r="M123" s="20" t="n">
        <v>3</v>
      </c>
      <c r="N123" s="20" t="n">
        <v>3</v>
      </c>
      <c r="O123" s="5">
        <f>IF((Finans!K123+Finans!L123)/2&lt;14,5,IF((Finans!K123+Finans!L123)/2&lt;28,4,IF((Finans!K123+Finans!L123)/2&lt;=56,3,IF((Finans!K123+Finans!L123)/2&lt;=90,2,1))))</f>
        <v>2</v>
      </c>
      <c r="P123" s="5">
        <f>IF(Finans!I123/Hedef!$C$7&lt;1,5,IF(Finans!I123/Hedef!$C$7&lt;3,4,IF(Finans!I123/Hedef!$C$7&lt;=5,3,IF(Finans!I123/Hedef!$C$7&lt;=8,2,1))))</f>
        <v>3</v>
      </c>
      <c r="Q123" s="20" t="n">
        <v>3</v>
      </c>
      <c r="R123" s="20" t="n">
        <v>4</v>
      </c>
      <c r="S123" s="20" t="n">
        <v>3</v>
      </c>
      <c r="T123" s="20" t="n">
        <v>4</v>
      </c>
      <c r="U123" s="5">
        <f>IF(Finans!AI123&lt;=0,0,IF(Finans!AI123&lt;=5,5,IF(Finans!AI123&lt;10,4,IF(Finans!AI123&lt;=30,3,IF(Finans!AI123&lt;100,2,1)))))</f>
        <v>2</v>
      </c>
      <c r="V123" s="20" t="n">
        <v>4</v>
      </c>
      <c r="W123" s="20" t="n">
        <v>3</v>
      </c>
      <c r="X123" s="20" t="n">
        <v>2</v>
      </c>
      <c r="Y123" s="20" t="n">
        <v>2</v>
      </c>
      <c r="Z123" s="20" t="n">
        <v>3</v>
      </c>
      <c r="AA123" s="20" t="n">
        <v>3</v>
      </c>
      <c r="AB123" s="20" t="n">
        <v>3</v>
      </c>
      <c r="AD123" s="20" t="n">
        <v>2</v>
      </c>
      <c r="AE123" s="20" t="n">
        <v>1</v>
      </c>
      <c r="AF123" s="20" t="n">
        <v>3</v>
      </c>
      <c r="AG123" s="20" t="n">
        <v>3</v>
      </c>
    </row>
    <row r="124">
      <c r="A124" s="7" t="str">
        <f>Secenekler!A124</f>
        <v>signator-b</v>
      </c>
      <c r="B124" s="7" t="str">
        <f>Secenekler!C124</f>
        <v>KOBİ ekip paketi: self-servis, aramadan gelen satış</v>
      </c>
      <c r="C124" s="20" t="n">
        <v>2</v>
      </c>
      <c r="D124" s="20" t="n">
        <v>3</v>
      </c>
      <c r="E124" s="20" t="n">
        <v>3</v>
      </c>
      <c r="F124" s="20" t="n">
        <v>3</v>
      </c>
      <c r="G124" s="20" t="n">
        <v>3</v>
      </c>
      <c r="H124" s="20" t="n">
        <v>2</v>
      </c>
      <c r="I124" s="20" t="n">
        <v>2</v>
      </c>
      <c r="J124" s="20" t="n">
        <v>3</v>
      </c>
      <c r="K124" s="20" t="n">
        <v>3</v>
      </c>
      <c r="L124" s="20" t="n">
        <v>3</v>
      </c>
      <c r="M124" s="20" t="n">
        <v>2</v>
      </c>
      <c r="N124" s="20" t="n">
        <v>3</v>
      </c>
      <c r="O124" s="5">
        <f>IF((Finans!K124+Finans!L124)/2&lt;14,5,IF((Finans!K124+Finans!L124)/2&lt;28,4,IF((Finans!K124+Finans!L124)/2&lt;=56,3,IF((Finans!K124+Finans!L124)/2&lt;=90,2,1))))</f>
        <v>2</v>
      </c>
      <c r="P124" s="5">
        <f>IF(Finans!I124/Hedef!$C$7&lt;1,5,IF(Finans!I124/Hedef!$C$7&lt;3,4,IF(Finans!I124/Hedef!$C$7&lt;=5,3,IF(Finans!I124/Hedef!$C$7&lt;=8,2,1))))</f>
        <v>3</v>
      </c>
      <c r="Q124" s="20" t="n">
        <v>4</v>
      </c>
      <c r="R124" s="20" t="n">
        <v>4</v>
      </c>
      <c r="S124" s="20" t="n">
        <v>4</v>
      </c>
      <c r="T124" s="20" t="n">
        <v>4</v>
      </c>
      <c r="U124" s="5">
        <f>IF(Finans!AI124&lt;=0,0,IF(Finans!AI124&lt;=5,5,IF(Finans!AI124&lt;10,4,IF(Finans!AI124&lt;=30,3,IF(Finans!AI124&lt;100,2,1)))))</f>
        <v>1</v>
      </c>
      <c r="V124" s="20" t="n">
        <v>3</v>
      </c>
      <c r="W124" s="20" t="n">
        <v>4</v>
      </c>
      <c r="X124" s="20" t="n">
        <v>2</v>
      </c>
      <c r="Y124" s="20" t="n">
        <v>2</v>
      </c>
      <c r="Z124" s="20" t="n">
        <v>4</v>
      </c>
      <c r="AA124" s="20" t="n">
        <v>3</v>
      </c>
      <c r="AB124" s="20" t="n">
        <v>4</v>
      </c>
      <c r="AD124" s="20" t="n">
        <v>2</v>
      </c>
      <c r="AE124" s="20" t="n">
        <v>1</v>
      </c>
      <c r="AF124" s="20" t="n">
        <v>4</v>
      </c>
      <c r="AG124" s="20" t="n">
        <v>2</v>
      </c>
    </row>
    <row r="125">
      <c r="A125" s="7" t="str">
        <f>Secenekler!A125</f>
        <v>signator-c</v>
      </c>
      <c r="B125" s="7" t="str">
        <f>Secenekler!C125</f>
        <v>Sabit fiyatlı ekip imzası kurulum paketi</v>
      </c>
      <c r="C125" s="20" t="n">
        <v>2</v>
      </c>
      <c r="D125" s="20" t="n">
        <v>3</v>
      </c>
      <c r="E125" s="20" t="n">
        <v>2</v>
      </c>
      <c r="F125" s="20" t="n">
        <v>3</v>
      </c>
      <c r="G125" s="20" t="n">
        <v>3</v>
      </c>
      <c r="H125" s="20" t="n">
        <v>1</v>
      </c>
      <c r="I125" s="20" t="n">
        <v>3</v>
      </c>
      <c r="J125" s="20" t="n">
        <v>2</v>
      </c>
      <c r="K125" s="20" t="n">
        <v>3</v>
      </c>
      <c r="L125" s="20" t="n">
        <v>2</v>
      </c>
      <c r="M125" s="20" t="n">
        <v>2</v>
      </c>
      <c r="N125" s="20" t="n">
        <v>3</v>
      </c>
      <c r="O125" s="5">
        <f>IF((Finans!K125+Finans!L125)/2&lt;14,5,IF((Finans!K125+Finans!L125)/2&lt;28,4,IF((Finans!K125+Finans!L125)/2&lt;=56,3,IF((Finans!K125+Finans!L125)/2&lt;=90,2,1))))</f>
        <v>4</v>
      </c>
      <c r="P125" s="5">
        <f>IF(Finans!I125/Hedef!$C$7&lt;1,5,IF(Finans!I125/Hedef!$C$7&lt;3,4,IF(Finans!I125/Hedef!$C$7&lt;=5,3,IF(Finans!I125/Hedef!$C$7&lt;=8,2,1))))</f>
        <v>5</v>
      </c>
      <c r="Q125" s="20" t="n">
        <v>4</v>
      </c>
      <c r="R125" s="20" t="n">
        <v>3</v>
      </c>
      <c r="S125" s="20" t="n">
        <v>2</v>
      </c>
      <c r="T125" s="20" t="n">
        <v>4</v>
      </c>
      <c r="U125" s="5">
        <f>IF(Finans!AI125&lt;=0,0,IF(Finans!AI125&lt;=5,5,IF(Finans!AI125&lt;10,4,IF(Finans!AI125&lt;=30,3,IF(Finans!AI125&lt;100,2,1)))))</f>
        <v>1</v>
      </c>
      <c r="V125" s="20" t="n">
        <v>2</v>
      </c>
      <c r="W125" s="20" t="n">
        <v>2</v>
      </c>
      <c r="X125" s="20" t="n">
        <v>3</v>
      </c>
      <c r="Y125" s="20" t="n">
        <v>2</v>
      </c>
      <c r="Z125" s="20" t="n">
        <v>3</v>
      </c>
      <c r="AA125" s="20" t="n">
        <v>4</v>
      </c>
      <c r="AB125" s="20" t="n">
        <v>4</v>
      </c>
      <c r="AD125" s="20" t="n">
        <v>2</v>
      </c>
      <c r="AE125" s="20" t="n">
        <v>1</v>
      </c>
      <c r="AF125" s="20" t="n">
        <v>1</v>
      </c>
      <c r="AG125" s="20" t="n">
        <v>3</v>
      </c>
    </row>
    <row r="126">
      <c r="A126" s="7" t="str">
        <f>Secenekler!A126</f>
        <v>volley-tap-a</v>
      </c>
      <c r="B126" s="7" t="str">
        <f>Secenekler!C126</f>
        <v>Kulüp ve markalara sabit paketli kampanya oyunu</v>
      </c>
      <c r="C126" s="20" t="n">
        <v>2</v>
      </c>
      <c r="D126" s="20" t="n">
        <v>3</v>
      </c>
      <c r="E126" s="20" t="n">
        <v>2</v>
      </c>
      <c r="F126" s="20" t="n">
        <v>3</v>
      </c>
      <c r="G126" s="20" t="n">
        <v>3</v>
      </c>
      <c r="H126" s="20" t="n">
        <v>1</v>
      </c>
      <c r="I126" s="20" t="n">
        <v>2</v>
      </c>
      <c r="J126" s="20" t="n">
        <v>1</v>
      </c>
      <c r="K126" s="20" t="n">
        <v>3</v>
      </c>
      <c r="L126" s="20" t="n">
        <v>3</v>
      </c>
      <c r="M126" s="20" t="n">
        <v>3</v>
      </c>
      <c r="N126" s="20" t="n">
        <v>3</v>
      </c>
      <c r="O126" s="5">
        <f>IF((Finans!K126+Finans!L126)/2&lt;14,5,IF((Finans!K126+Finans!L126)/2&lt;28,4,IF((Finans!K126+Finans!L126)/2&lt;=56,3,IF((Finans!K126+Finans!L126)/2&lt;=90,2,1))))</f>
        <v>1</v>
      </c>
      <c r="P126" s="5">
        <f>IF(Finans!I126/Hedef!$C$7&lt;1,5,IF(Finans!I126/Hedef!$C$7&lt;3,4,IF(Finans!I126/Hedef!$C$7&lt;=5,3,IF(Finans!I126/Hedef!$C$7&lt;=8,2,1))))</f>
        <v>2</v>
      </c>
      <c r="Q126" s="20" t="n">
        <v>3</v>
      </c>
      <c r="R126" s="20" t="n">
        <v>2</v>
      </c>
      <c r="S126" s="20" t="n">
        <v>1</v>
      </c>
      <c r="T126" s="20" t="n">
        <v>4</v>
      </c>
      <c r="U126" s="5">
        <f>IF(Finans!AI126&lt;=0,0,IF(Finans!AI126&lt;=5,5,IF(Finans!AI126&lt;10,4,IF(Finans!AI126&lt;=30,3,IF(Finans!AI126&lt;100,2,1)))))</f>
        <v>4</v>
      </c>
      <c r="V126" s="20" t="n">
        <v>2</v>
      </c>
      <c r="W126" s="20" t="n">
        <v>3</v>
      </c>
      <c r="X126" s="20" t="n">
        <v>2</v>
      </c>
      <c r="Y126" s="20" t="n">
        <v>2</v>
      </c>
      <c r="Z126" s="20" t="n">
        <v>2</v>
      </c>
      <c r="AA126" s="20" t="n">
        <v>4</v>
      </c>
      <c r="AB126" s="20" t="n">
        <v>2</v>
      </c>
      <c r="AD126" s="20" t="n">
        <v>2</v>
      </c>
      <c r="AE126" s="20" t="n">
        <v>1</v>
      </c>
      <c r="AF126" s="20" t="n">
        <v>2</v>
      </c>
      <c r="AG126" s="20" t="n">
        <v>2</v>
      </c>
    </row>
    <row r="127">
      <c r="A127" s="7" t="str">
        <f>Secenekler!A127</f>
        <v>volley-tap-b</v>
      </c>
      <c r="B127" s="7" t="str">
        <f>Secenekler!C127</f>
        <v>CrazyGames ve Yandex Games portal reklam geliri</v>
      </c>
      <c r="C127" s="20" t="n">
        <v>1</v>
      </c>
      <c r="D127" s="20" t="n">
        <v>1</v>
      </c>
      <c r="E127" s="20" t="n">
        <v>3</v>
      </c>
      <c r="F127" s="20" t="n">
        <v>1</v>
      </c>
      <c r="G127" s="20" t="n">
        <v>1</v>
      </c>
      <c r="H127" s="20" t="n">
        <v>2</v>
      </c>
      <c r="I127" s="20" t="n">
        <v>1</v>
      </c>
      <c r="J127" s="20" t="n">
        <v>3</v>
      </c>
      <c r="K127" s="20" t="n">
        <v>3</v>
      </c>
      <c r="L127" s="20" t="n">
        <v>3</v>
      </c>
      <c r="M127" s="20" t="n">
        <v>2</v>
      </c>
      <c r="N127" s="20" t="n">
        <v>2</v>
      </c>
      <c r="O127" s="5">
        <f>IF((Finans!K127+Finans!L127)/2&lt;14,5,IF((Finans!K127+Finans!L127)/2&lt;28,4,IF((Finans!K127+Finans!L127)/2&lt;=56,3,IF((Finans!K127+Finans!L127)/2&lt;=90,2,1))))</f>
        <v>1</v>
      </c>
      <c r="P127" s="5">
        <f>IF(Finans!I127/Hedef!$C$7&lt;1,5,IF(Finans!I127/Hedef!$C$7&lt;3,4,IF(Finans!I127/Hedef!$C$7&lt;=5,3,IF(Finans!I127/Hedef!$C$7&lt;=8,2,1))))</f>
        <v>2</v>
      </c>
      <c r="Q127" s="20" t="n">
        <v>3</v>
      </c>
      <c r="R127" s="20" t="n">
        <v>5</v>
      </c>
      <c r="S127" s="20" t="n">
        <v>4</v>
      </c>
      <c r="T127" s="20" t="n">
        <v>3</v>
      </c>
      <c r="U127" s="5">
        <f>IF(Finans!AI127&lt;=0,0,IF(Finans!AI127&lt;=5,5,IF(Finans!AI127&lt;10,4,IF(Finans!AI127&lt;=30,3,IF(Finans!AI127&lt;100,2,1)))))</f>
        <v>2</v>
      </c>
      <c r="V127" s="20" t="n">
        <v>3</v>
      </c>
      <c r="W127" s="20" t="n">
        <v>3</v>
      </c>
      <c r="X127" s="20" t="n">
        <v>2</v>
      </c>
      <c r="Y127" s="20" t="n">
        <v>1</v>
      </c>
      <c r="Z127" s="20" t="n">
        <v>5</v>
      </c>
      <c r="AA127" s="20" t="n">
        <v>5</v>
      </c>
      <c r="AB127" s="20" t="n">
        <v>5</v>
      </c>
      <c r="AD127" s="20" t="n">
        <v>3</v>
      </c>
      <c r="AE127" s="20" t="n">
        <v>1</v>
      </c>
      <c r="AF127" s="20" t="n">
        <v>5</v>
      </c>
      <c r="AG127" s="20" t="n">
        <v>2</v>
      </c>
    </row>
    <row r="128">
      <c r="A128" s="7" t="str">
        <f>Secenekler!A128</f>
        <v>volley-tap-c</v>
      </c>
      <c r="B128" s="7" t="str">
        <f>Secenekler!C128</f>
        <v>itch.io tarayıcı demo ve ücretli premium paket</v>
      </c>
      <c r="C128" s="20" t="n">
        <v>1</v>
      </c>
      <c r="D128" s="20" t="n">
        <v>1</v>
      </c>
      <c r="E128" s="20" t="n">
        <v>2</v>
      </c>
      <c r="F128" s="20" t="n">
        <v>1</v>
      </c>
      <c r="G128" s="20" t="n">
        <v>4</v>
      </c>
      <c r="H128" s="20" t="n">
        <v>1</v>
      </c>
      <c r="I128" s="20" t="n">
        <v>1</v>
      </c>
      <c r="J128" s="20" t="n">
        <v>3</v>
      </c>
      <c r="K128" s="20" t="n">
        <v>3</v>
      </c>
      <c r="L128" s="20" t="n">
        <v>3</v>
      </c>
      <c r="M128" s="20" t="n">
        <v>2</v>
      </c>
      <c r="N128" s="20" t="n">
        <v>2</v>
      </c>
      <c r="O128" s="5">
        <f>IF((Finans!K128+Finans!L128)/2&lt;14,5,IF((Finans!K128+Finans!L128)/2&lt;28,4,IF((Finans!K128+Finans!L128)/2&lt;=56,3,IF((Finans!K128+Finans!L128)/2&lt;=90,2,1))))</f>
        <v>2</v>
      </c>
      <c r="P128" s="5">
        <f>IF(Finans!I128/Hedef!$C$7&lt;1,5,IF(Finans!I128/Hedef!$C$7&lt;3,4,IF(Finans!I128/Hedef!$C$7&lt;=5,3,IF(Finans!I128/Hedef!$C$7&lt;=8,2,1))))</f>
        <v>4</v>
      </c>
      <c r="Q128" s="20" t="n">
        <v>5</v>
      </c>
      <c r="R128" s="20" t="n">
        <v>5</v>
      </c>
      <c r="S128" s="20" t="n">
        <v>4</v>
      </c>
      <c r="T128" s="20" t="n">
        <v>5</v>
      </c>
      <c r="U128" s="5">
        <f>IF(Finans!AI128&lt;=0,0,IF(Finans!AI128&lt;=5,5,IF(Finans!AI128&lt;10,4,IF(Finans!AI128&lt;=30,3,IF(Finans!AI128&lt;100,2,1)))))</f>
        <v>1</v>
      </c>
      <c r="V128" s="20" t="n">
        <v>1</v>
      </c>
      <c r="W128" s="20" t="n">
        <v>2</v>
      </c>
      <c r="X128" s="20" t="n">
        <v>2</v>
      </c>
      <c r="Y128" s="20" t="n">
        <v>1</v>
      </c>
      <c r="Z128" s="20" t="n">
        <v>4</v>
      </c>
      <c r="AA128" s="20" t="n">
        <v>5</v>
      </c>
      <c r="AB128" s="20" t="n">
        <v>5</v>
      </c>
      <c r="AD128" s="20" t="n">
        <v>2</v>
      </c>
      <c r="AE128" s="20" t="n">
        <v>1</v>
      </c>
      <c r="AF128" s="20" t="n">
        <v>4</v>
      </c>
      <c r="AG128" s="20" t="n">
        <v>1</v>
      </c>
    </row>
    <row r="129">
      <c r="A129" s="7" t="str">
        <f>Secenekler!A129</f>
        <v>woocommnts-a</v>
      </c>
      <c r="B129" s="7" t="str">
        <f>Secenekler!C129</f>
        <v>Taksit ve kapıda ödeme eklentisi: ücretsiz çekirdek + Pro</v>
      </c>
      <c r="C129" s="20" t="n">
        <v>3</v>
      </c>
      <c r="D129" s="20" t="n">
        <v>3</v>
      </c>
      <c r="E129" s="20" t="n">
        <v>5</v>
      </c>
      <c r="F129" s="20" t="n">
        <v>3</v>
      </c>
      <c r="G129" s="20" t="n">
        <v>5</v>
      </c>
      <c r="H129" s="20" t="n">
        <v>1</v>
      </c>
      <c r="I129" s="20" t="n">
        <v>2</v>
      </c>
      <c r="J129" s="20" t="n">
        <v>4</v>
      </c>
      <c r="K129" s="20" t="n">
        <v>3</v>
      </c>
      <c r="L129" s="20" t="n">
        <v>2</v>
      </c>
      <c r="M129" s="20" t="n">
        <v>3</v>
      </c>
      <c r="N129" s="20" t="n">
        <v>3</v>
      </c>
      <c r="O129" s="5">
        <f>IF((Finans!K129+Finans!L129)/2&lt;14,5,IF((Finans!K129+Finans!L129)/2&lt;28,4,IF((Finans!K129+Finans!L129)/2&lt;=56,3,IF((Finans!K129+Finans!L129)/2&lt;=90,2,1))))</f>
        <v>2</v>
      </c>
      <c r="P129" s="5">
        <f>IF(Finans!I129/Hedef!$C$7&lt;1,5,IF(Finans!I129/Hedef!$C$7&lt;3,4,IF(Finans!I129/Hedef!$C$7&lt;=5,3,IF(Finans!I129/Hedef!$C$7&lt;=8,2,1))))</f>
        <v>3</v>
      </c>
      <c r="Q129" s="20" t="n">
        <v>4</v>
      </c>
      <c r="R129" s="20" t="n">
        <v>4</v>
      </c>
      <c r="S129" s="20" t="n">
        <v>4</v>
      </c>
      <c r="T129" s="20" t="n">
        <v>3</v>
      </c>
      <c r="U129" s="5">
        <f>IF(Finans!AI129&lt;=0,0,IF(Finans!AI129&lt;=5,5,IF(Finans!AI129&lt;10,4,IF(Finans!AI129&lt;=30,3,IF(Finans!AI129&lt;100,2,1)))))</f>
        <v>2</v>
      </c>
      <c r="V129" s="20" t="n">
        <v>3</v>
      </c>
      <c r="W129" s="20" t="n">
        <v>3</v>
      </c>
      <c r="X129" s="20" t="n">
        <v>3</v>
      </c>
      <c r="Y129" s="20" t="n">
        <v>2</v>
      </c>
      <c r="Z129" s="20" t="n">
        <v>4</v>
      </c>
      <c r="AA129" s="20" t="n">
        <v>3</v>
      </c>
      <c r="AB129" s="20" t="n">
        <v>4</v>
      </c>
      <c r="AD129" s="20" t="n">
        <v>2</v>
      </c>
      <c r="AE129" s="20" t="n">
        <v>2</v>
      </c>
      <c r="AF129" s="20" t="n">
        <v>4</v>
      </c>
      <c r="AG129" s="20" t="n">
        <v>4</v>
      </c>
    </row>
    <row r="130">
      <c r="A130" s="7" t="str">
        <f>Secenekler!A130</f>
        <v>woocommnts-b</v>
      </c>
      <c r="B130" s="7" t="str">
        <f>Secenekler!C130</f>
        <v>Ajans paketi: 10 site lisanslı taksit ve kapıda ödeme eklentisi</v>
      </c>
      <c r="C130" s="20" t="n">
        <v>3</v>
      </c>
      <c r="D130" s="20" t="n">
        <v>3</v>
      </c>
      <c r="E130" s="20" t="n">
        <v>3</v>
      </c>
      <c r="F130" s="20" t="n">
        <v>3</v>
      </c>
      <c r="G130" s="20" t="n">
        <v>4</v>
      </c>
      <c r="H130" s="20" t="n">
        <v>1</v>
      </c>
      <c r="I130" s="20" t="n">
        <v>1</v>
      </c>
      <c r="J130" s="20" t="n">
        <v>3</v>
      </c>
      <c r="K130" s="20" t="n">
        <v>2</v>
      </c>
      <c r="L130" s="20" t="n">
        <v>2</v>
      </c>
      <c r="M130" s="20" t="n">
        <v>3</v>
      </c>
      <c r="N130" s="20" t="n">
        <v>2</v>
      </c>
      <c r="O130" s="5">
        <f>IF((Finans!K130+Finans!L130)/2&lt;14,5,IF((Finans!K130+Finans!L130)/2&lt;28,4,IF((Finans!K130+Finans!L130)/2&lt;=56,3,IF((Finans!K130+Finans!L130)/2&lt;=90,2,1))))</f>
        <v>2</v>
      </c>
      <c r="P130" s="5">
        <f>IF(Finans!I130/Hedef!$C$7&lt;1,5,IF(Finans!I130/Hedef!$C$7&lt;3,4,IF(Finans!I130/Hedef!$C$7&lt;=5,3,IF(Finans!I130/Hedef!$C$7&lt;=8,2,1))))</f>
        <v>3</v>
      </c>
      <c r="Q130" s="20" t="n">
        <v>3</v>
      </c>
      <c r="R130" s="20" t="n">
        <v>4</v>
      </c>
      <c r="S130" s="20" t="n">
        <v>3</v>
      </c>
      <c r="T130" s="20" t="n">
        <v>3</v>
      </c>
      <c r="U130" s="5">
        <f>IF(Finans!AI130&lt;=0,0,IF(Finans!AI130&lt;=5,5,IF(Finans!AI130&lt;10,4,IF(Finans!AI130&lt;=30,3,IF(Finans!AI130&lt;100,2,1)))))</f>
        <v>2</v>
      </c>
      <c r="V130" s="20" t="n">
        <v>3</v>
      </c>
      <c r="W130" s="20" t="n">
        <v>4</v>
      </c>
      <c r="X130" s="20" t="n">
        <v>3</v>
      </c>
      <c r="Y130" s="20" t="n">
        <v>2</v>
      </c>
      <c r="Z130" s="20" t="n">
        <v>3</v>
      </c>
      <c r="AA130" s="20" t="n">
        <v>3</v>
      </c>
      <c r="AB130" s="20" t="n">
        <v>4</v>
      </c>
      <c r="AD130" s="20" t="n">
        <v>2</v>
      </c>
      <c r="AE130" s="20" t="n">
        <v>2</v>
      </c>
      <c r="AF130" s="20" t="n">
        <v>3</v>
      </c>
      <c r="AG130" s="20" t="n">
        <v>3</v>
      </c>
    </row>
    <row r="131">
      <c r="A131" s="7" t="str">
        <f>Secenekler!A131</f>
        <v>woocommnts-c</v>
      </c>
      <c r="B131" s="7" t="str">
        <f>Secenekler!C131</f>
        <v>Yorum göç hizmeti: izinli yorumları doğru ürüne eşleme</v>
      </c>
      <c r="C131" s="20" t="n">
        <v>2</v>
      </c>
      <c r="D131" s="20" t="n">
        <v>2</v>
      </c>
      <c r="E131" s="20" t="n">
        <v>2</v>
      </c>
      <c r="F131" s="20" t="n">
        <v>3</v>
      </c>
      <c r="G131" s="20" t="n">
        <v>4</v>
      </c>
      <c r="H131" s="20" t="n">
        <v>1</v>
      </c>
      <c r="I131" s="20" t="n">
        <v>1</v>
      </c>
      <c r="J131" s="20" t="n">
        <v>2</v>
      </c>
      <c r="K131" s="20" t="n">
        <v>2</v>
      </c>
      <c r="L131" s="20" t="n">
        <v>1</v>
      </c>
      <c r="M131" s="20" t="n">
        <v>2</v>
      </c>
      <c r="N131" s="20" t="n">
        <v>2</v>
      </c>
      <c r="O131" s="5">
        <f>IF((Finans!K131+Finans!L131)/2&lt;14,5,IF((Finans!K131+Finans!L131)/2&lt;28,4,IF((Finans!K131+Finans!L131)/2&lt;=56,3,IF((Finans!K131+Finans!L131)/2&lt;=90,2,1))))</f>
        <v>2</v>
      </c>
      <c r="P131" s="5">
        <f>IF(Finans!I131/Hedef!$C$7&lt;1,5,IF(Finans!I131/Hedef!$C$7&lt;3,4,IF(Finans!I131/Hedef!$C$7&lt;=5,3,IF(Finans!I131/Hedef!$C$7&lt;=8,2,1))))</f>
        <v>3</v>
      </c>
      <c r="Q131" s="20" t="n">
        <v>3</v>
      </c>
      <c r="R131" s="20" t="n">
        <v>3</v>
      </c>
      <c r="S131" s="20" t="n">
        <v>1</v>
      </c>
      <c r="T131" s="20" t="n">
        <v>2</v>
      </c>
      <c r="U131" s="5">
        <f>IF(Finans!AI131&lt;=0,0,IF(Finans!AI131&lt;=5,5,IF(Finans!AI131&lt;10,4,IF(Finans!AI131&lt;=30,3,IF(Finans!AI131&lt;100,2,1)))))</f>
        <v>2</v>
      </c>
      <c r="V131" s="20" t="n">
        <v>2</v>
      </c>
      <c r="W131" s="20" t="n">
        <v>2</v>
      </c>
      <c r="X131" s="20" t="n">
        <v>2</v>
      </c>
      <c r="Y131" s="20" t="n">
        <v>2</v>
      </c>
      <c r="Z131" s="20" t="n">
        <v>2</v>
      </c>
      <c r="AA131" s="20" t="n">
        <v>3</v>
      </c>
      <c r="AB131" s="20" t="n">
        <v>2</v>
      </c>
      <c r="AD131" s="20" t="n">
        <v>1</v>
      </c>
      <c r="AE131" s="20" t="n">
        <v>1</v>
      </c>
      <c r="AF131" s="20" t="n">
        <v>1</v>
      </c>
      <c r="AG131" s="20" t="n">
        <v>2</v>
      </c>
    </row>
    <row r="132">
      <c r="A132" s="7" t="str">
        <f>Secenekler!A132</f>
        <v>egitim-demolari-a</v>
      </c>
      <c r="B132" s="7" t="str">
        <f>Secenekler!C132</f>
        <v>Tek kazanımlı ders paketi (rehber ve cevap anahtarı)</v>
      </c>
      <c r="C132" s="20" t="n">
        <v>2</v>
      </c>
      <c r="D132" s="20" t="n">
        <v>3</v>
      </c>
      <c r="E132" s="20" t="n">
        <v>2</v>
      </c>
      <c r="F132" s="20" t="n">
        <v>3</v>
      </c>
      <c r="G132" s="20" t="n">
        <v>4</v>
      </c>
      <c r="H132" s="20" t="n">
        <v>1</v>
      </c>
      <c r="I132" s="20" t="n">
        <v>1</v>
      </c>
      <c r="J132" s="20" t="n">
        <v>2</v>
      </c>
      <c r="K132" s="20" t="n">
        <v>3</v>
      </c>
      <c r="L132" s="20" t="n">
        <v>2</v>
      </c>
      <c r="M132" s="20" t="n">
        <v>3</v>
      </c>
      <c r="N132" s="20" t="n">
        <v>2</v>
      </c>
      <c r="O132" s="5">
        <f>IF((Finans!K132+Finans!L132)/2&lt;14,5,IF((Finans!K132+Finans!L132)/2&lt;28,4,IF((Finans!K132+Finans!L132)/2&lt;=56,3,IF((Finans!K132+Finans!L132)/2&lt;=90,2,1))))</f>
        <v>3</v>
      </c>
      <c r="P132" s="5">
        <f>IF(Finans!I132/Hedef!$C$7&lt;1,5,IF(Finans!I132/Hedef!$C$7&lt;3,4,IF(Finans!I132/Hedef!$C$7&lt;=5,3,IF(Finans!I132/Hedef!$C$7&lt;=8,2,1))))</f>
        <v>3</v>
      </c>
      <c r="Q132" s="20" t="n">
        <v>4</v>
      </c>
      <c r="R132" s="20" t="n">
        <v>4</v>
      </c>
      <c r="S132" s="20" t="n">
        <v>3</v>
      </c>
      <c r="T132" s="20" t="n">
        <v>5</v>
      </c>
      <c r="U132" s="5">
        <f>IF(Finans!AI132&lt;=0,0,IF(Finans!AI132&lt;=5,5,IF(Finans!AI132&lt;10,4,IF(Finans!AI132&lt;=30,3,IF(Finans!AI132&lt;100,2,1)))))</f>
        <v>1</v>
      </c>
      <c r="V132" s="20" t="n">
        <v>2</v>
      </c>
      <c r="W132" s="20" t="n">
        <v>3</v>
      </c>
      <c r="X132" s="20" t="n">
        <v>1</v>
      </c>
      <c r="Y132" s="20" t="n">
        <v>1</v>
      </c>
      <c r="Z132" s="20" t="n">
        <v>5</v>
      </c>
      <c r="AA132" s="20" t="n">
        <v>4</v>
      </c>
      <c r="AB132" s="20" t="n">
        <v>5</v>
      </c>
      <c r="AD132" s="20" t="n">
        <v>3</v>
      </c>
      <c r="AE132" s="20" t="n">
        <v>1</v>
      </c>
      <c r="AF132" s="20" t="n">
        <v>3</v>
      </c>
      <c r="AG132" s="20" t="n">
        <v>2</v>
      </c>
    </row>
    <row r="133">
      <c r="A133" s="7" t="str">
        <f>Secenekler!A133</f>
        <v>egitim-demolari-b</v>
      </c>
      <c r="B133" s="7" t="str">
        <f>Secenekler!C133</f>
        <v>Ekip atölyesi: prensipleri kendi işine uyarlama</v>
      </c>
      <c r="C133" s="20" t="n">
        <v>2</v>
      </c>
      <c r="D133" s="20" t="n">
        <v>3</v>
      </c>
      <c r="E133" s="20" t="n">
        <v>2</v>
      </c>
      <c r="F133" s="20" t="n">
        <v>3</v>
      </c>
      <c r="G133" s="20" t="n">
        <v>3</v>
      </c>
      <c r="H133" s="20" t="n">
        <v>1</v>
      </c>
      <c r="I133" s="20" t="n">
        <v>2</v>
      </c>
      <c r="J133" s="20" t="n">
        <v>2</v>
      </c>
      <c r="K133" s="20" t="n">
        <v>3</v>
      </c>
      <c r="L133" s="20" t="n">
        <v>2</v>
      </c>
      <c r="M133" s="20" t="n">
        <v>3</v>
      </c>
      <c r="N133" s="20" t="n">
        <v>2</v>
      </c>
      <c r="O133" s="5">
        <f>IF((Finans!K133+Finans!L133)/2&lt;14,5,IF((Finans!K133+Finans!L133)/2&lt;28,4,IF((Finans!K133+Finans!L133)/2&lt;=56,3,IF((Finans!K133+Finans!L133)/2&lt;=90,2,1))))</f>
        <v>2</v>
      </c>
      <c r="P133" s="5">
        <f>IF(Finans!I133/Hedef!$C$7&lt;1,5,IF(Finans!I133/Hedef!$C$7&lt;3,4,IF(Finans!I133/Hedef!$C$7&lt;=5,3,IF(Finans!I133/Hedef!$C$7&lt;=8,2,1))))</f>
        <v>4</v>
      </c>
      <c r="Q133" s="20" t="n">
        <v>2</v>
      </c>
      <c r="R133" s="20" t="n">
        <v>3</v>
      </c>
      <c r="S133" s="20" t="n">
        <v>1</v>
      </c>
      <c r="T133" s="20" t="n">
        <v>4</v>
      </c>
      <c r="U133" s="5">
        <f>IF(Finans!AI133&lt;=0,0,IF(Finans!AI133&lt;=5,5,IF(Finans!AI133&lt;10,4,IF(Finans!AI133&lt;=30,3,IF(Finans!AI133&lt;100,2,1)))))</f>
        <v>3</v>
      </c>
      <c r="V133" s="20" t="n">
        <v>2</v>
      </c>
      <c r="W133" s="20" t="n">
        <v>2</v>
      </c>
      <c r="X133" s="20" t="n">
        <v>2</v>
      </c>
      <c r="Y133" s="20" t="n">
        <v>2</v>
      </c>
      <c r="Z133" s="20" t="n">
        <v>2</v>
      </c>
      <c r="AA133" s="20" t="n">
        <v>4</v>
      </c>
      <c r="AB133" s="20" t="n">
        <v>3</v>
      </c>
      <c r="AD133" s="20" t="n"/>
      <c r="AE133" s="20" t="n">
        <v>1</v>
      </c>
      <c r="AF133" s="20" t="n">
        <v>1</v>
      </c>
      <c r="AG133" s="20" t="n">
        <v>3</v>
      </c>
    </row>
    <row r="134">
      <c r="A134" s="7" t="str">
        <f>Secenekler!A134</f>
        <v>baz-secenekler-a</v>
      </c>
      <c r="B134" s="7" t="str">
        <f>Secenekler!C134</f>
        <v>Günlük ücretli danışmanlık ya da yazılım işi (aynı saatlerde)</v>
      </c>
      <c r="C134" s="20" t="n">
        <v>3</v>
      </c>
      <c r="D134" s="20" t="n">
        <v>3</v>
      </c>
      <c r="E134" s="20" t="n">
        <v>4</v>
      </c>
      <c r="F134" s="20" t="n">
        <v>4</v>
      </c>
      <c r="G134" s="20" t="n">
        <v>3</v>
      </c>
      <c r="H134" s="20" t="n">
        <v>2</v>
      </c>
      <c r="I134" s="20" t="n">
        <v>2</v>
      </c>
      <c r="J134" s="20" t="n">
        <v>1</v>
      </c>
      <c r="K134" s="20" t="n">
        <v>3</v>
      </c>
      <c r="L134" s="20" t="n">
        <v>1</v>
      </c>
      <c r="M134" s="20" t="n">
        <v>3</v>
      </c>
      <c r="N134" s="20" t="n">
        <v>2</v>
      </c>
      <c r="O134" s="5">
        <f>IF((Finans!K134+Finans!L134)/2&lt;14,5,IF((Finans!K134+Finans!L134)/2&lt;28,4,IF((Finans!K134+Finans!L134)/2&lt;=56,3,IF((Finans!K134+Finans!L134)/2&lt;=90,2,1))))</f>
        <v>3</v>
      </c>
      <c r="P134" s="5">
        <f>IF(Finans!I134/Hedef!$C$7&lt;1,5,IF(Finans!I134/Hedef!$C$7&lt;3,4,IF(Finans!I134/Hedef!$C$7&lt;=5,3,IF(Finans!I134/Hedef!$C$7&lt;=8,2,1))))</f>
        <v>5</v>
      </c>
      <c r="Q134" s="20" t="n">
        <v>3</v>
      </c>
      <c r="R134" s="20" t="n">
        <v>3</v>
      </c>
      <c r="S134" s="20" t="n">
        <v>1</v>
      </c>
      <c r="T134" s="20" t="n">
        <v>3</v>
      </c>
      <c r="U134" s="5">
        <f>IF(Finans!AI134&lt;=0,0,IF(Finans!AI134&lt;=5,5,IF(Finans!AI134&lt;10,4,IF(Finans!AI134&lt;=30,3,IF(Finans!AI134&lt;100,2,1)))))</f>
        <v>5</v>
      </c>
      <c r="V134" s="20" t="n">
        <v>4</v>
      </c>
      <c r="W134" s="20" t="n">
        <v>3</v>
      </c>
      <c r="X134" s="20" t="n">
        <v>4</v>
      </c>
      <c r="Y134" s="20" t="n">
        <v>3</v>
      </c>
      <c r="Z134" s="20" t="n">
        <v>2</v>
      </c>
      <c r="AA134" s="20" t="n">
        <v>3</v>
      </c>
      <c r="AB134" s="20" t="n">
        <v>2</v>
      </c>
      <c r="AD134" s="20" t="n">
        <v>3</v>
      </c>
      <c r="AE134" s="20" t="n">
        <v>1</v>
      </c>
      <c r="AF134" s="20" t="n">
        <v>1</v>
      </c>
      <c r="AG134" s="20" t="n">
        <v>4</v>
      </c>
    </row>
    <row r="135">
      <c r="A135" s="7" t="str">
        <f>Secenekler!A135</f>
        <v>baz-secenekler-b</v>
      </c>
      <c r="B135" s="7" t="str">
        <f>Secenekler!C135</f>
        <v>Mevcut Django kod tabanının ajanslara kurulumlu satışı</v>
      </c>
      <c r="C135" s="20" t="n">
        <v>2</v>
      </c>
      <c r="D135" s="20" t="n">
        <v>2</v>
      </c>
      <c r="E135" s="20" t="n">
        <v>3</v>
      </c>
      <c r="F135" s="20" t="n">
        <v>4</v>
      </c>
      <c r="G135" s="20" t="n">
        <v>4</v>
      </c>
      <c r="H135" s="20" t="n">
        <v>1</v>
      </c>
      <c r="I135" s="20" t="n">
        <v>1</v>
      </c>
      <c r="J135" s="20" t="n">
        <v>2</v>
      </c>
      <c r="K135" s="20" t="n">
        <v>2</v>
      </c>
      <c r="L135" s="20" t="n">
        <v>1</v>
      </c>
      <c r="M135" s="20" t="n">
        <v>3</v>
      </c>
      <c r="N135" s="20" t="n">
        <v>2</v>
      </c>
      <c r="O135" s="5">
        <f>IF((Finans!K135+Finans!L135)/2&lt;14,5,IF((Finans!K135+Finans!L135)/2&lt;28,4,IF((Finans!K135+Finans!L135)/2&lt;=56,3,IF((Finans!K135+Finans!L135)/2&lt;=90,2,1))))</f>
        <v>1</v>
      </c>
      <c r="P135" s="5">
        <f>IF(Finans!I135/Hedef!$C$7&lt;1,5,IF(Finans!I135/Hedef!$C$7&lt;3,4,IF(Finans!I135/Hedef!$C$7&lt;=5,3,IF(Finans!I135/Hedef!$C$7&lt;=8,2,1))))</f>
        <v>3</v>
      </c>
      <c r="Q135" s="20" t="n">
        <v>3</v>
      </c>
      <c r="R135" s="20" t="n">
        <v>2</v>
      </c>
      <c r="S135" s="20" t="n">
        <v>1</v>
      </c>
      <c r="T135" s="20" t="n">
        <v>2</v>
      </c>
      <c r="U135" s="5">
        <f>IF(Finans!AI135&lt;=0,0,IF(Finans!AI135&lt;=5,5,IF(Finans!AI135&lt;10,4,IF(Finans!AI135&lt;=30,3,IF(Finans!AI135&lt;100,2,1)))))</f>
        <v>4</v>
      </c>
      <c r="V135" s="20" t="n">
        <v>2</v>
      </c>
      <c r="W135" s="20" t="n">
        <v>3</v>
      </c>
      <c r="X135" s="20" t="n">
        <v>3</v>
      </c>
      <c r="Y135" s="20" t="n">
        <v>2</v>
      </c>
      <c r="Z135" s="20" t="n">
        <v>2</v>
      </c>
      <c r="AA135" s="20" t="n">
        <v>3</v>
      </c>
      <c r="AB135" s="20" t="n">
        <v>2</v>
      </c>
      <c r="AD135" s="20" t="n">
        <v>1</v>
      </c>
      <c r="AE135" s="20" t="n">
        <v>1</v>
      </c>
      <c r="AF135" s="20" t="n">
        <v>2</v>
      </c>
      <c r="AG135" s="20" t="n">
        <v>3</v>
      </c>
    </row>
    <row r="136">
      <c r="A136" s="7" t="str">
        <f>Secenekler!A136</f>
        <v>baz-secenekler-c</v>
      </c>
      <c r="B136" s="7" t="str">
        <f>Secenekler!C136</f>
        <v>Kamu destek programı başvurusu: TÜBİTAK 1812 ön tohum yatırımı</v>
      </c>
      <c r="C136" s="20" t="n">
        <v>1</v>
      </c>
      <c r="D136" s="20" t="n">
        <v>2</v>
      </c>
      <c r="E136" s="20" t="n">
        <v>3</v>
      </c>
      <c r="F136" s="20" t="n">
        <v>3</v>
      </c>
      <c r="G136" s="20" t="n">
        <v>2</v>
      </c>
      <c r="H136" s="20" t="n">
        <v>2</v>
      </c>
      <c r="I136" s="20" t="n">
        <v>1</v>
      </c>
      <c r="J136" s="20" t="n">
        <v>3</v>
      </c>
      <c r="K136" s="20" t="n">
        <v>3</v>
      </c>
      <c r="L136" s="20" t="n">
        <v>1</v>
      </c>
      <c r="M136" s="20" t="n">
        <v>3</v>
      </c>
      <c r="N136" s="20" t="n">
        <v>1</v>
      </c>
      <c r="O136" s="5">
        <f>IF((Finans!K136+Finans!L136)/2&lt;14,5,IF((Finans!K136+Finans!L136)/2&lt;28,4,IF((Finans!K136+Finans!L136)/2&lt;=56,3,IF((Finans!K136+Finans!L136)/2&lt;=90,2,1))))</f>
        <v>1</v>
      </c>
      <c r="P136" s="5">
        <f>IF(Finans!I136/Hedef!$C$7&lt;1,5,IF(Finans!I136/Hedef!$C$7&lt;3,4,IF(Finans!I136/Hedef!$C$7&lt;=5,3,IF(Finans!I136/Hedef!$C$7&lt;=8,2,1))))</f>
        <v>3</v>
      </c>
      <c r="Q136" s="20" t="n">
        <v>1</v>
      </c>
      <c r="R136" s="20" t="n">
        <v>1</v>
      </c>
      <c r="S136" s="20" t="n">
        <v>1</v>
      </c>
      <c r="T136" s="20" t="n">
        <v>2</v>
      </c>
      <c r="U136" s="5">
        <f>IF(Finans!AI136&lt;=0,0,IF(Finans!AI136&lt;=5,5,IF(Finans!AI136&lt;10,4,IF(Finans!AI136&lt;=30,3,IF(Finans!AI136&lt;100,2,1)))))</f>
        <v>5</v>
      </c>
      <c r="V136" s="20" t="n">
        <v>2</v>
      </c>
      <c r="W136" s="20" t="n">
        <v>2</v>
      </c>
      <c r="X136" s="20" t="n">
        <v>2</v>
      </c>
      <c r="Y136" s="20" t="n">
        <v>3</v>
      </c>
      <c r="Z136" s="20" t="n">
        <v>2</v>
      </c>
      <c r="AA136" s="20" t="n">
        <v>2</v>
      </c>
      <c r="AB136" s="20" t="n">
        <v>4</v>
      </c>
      <c r="AD136" s="20" t="n">
        <v>1</v>
      </c>
      <c r="AE136" s="20" t="n">
        <v>1</v>
      </c>
      <c r="AF136" s="20" t="n">
        <v>1</v>
      </c>
      <c r="AG136" s="20" t="n">
        <v>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G13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7"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 width="7" customWidth="1" min="14" max="14"/>
    <col width="7" customWidth="1" min="15" max="15"/>
    <col width="7" customWidth="1" min="16" max="16"/>
    <col width="7" customWidth="1" min="17" max="17"/>
    <col width="7" customWidth="1" min="18" max="18"/>
    <col width="7" customWidth="1" min="19" max="19"/>
    <col width="7" customWidth="1" min="20" max="20"/>
    <col width="7" customWidth="1" min="21" max="21"/>
    <col width="7" customWidth="1" min="22" max="22"/>
    <col width="7" customWidth="1" min="23" max="23"/>
    <col width="7" customWidth="1" min="24" max="24"/>
    <col width="7" customWidth="1" min="25" max="25"/>
    <col width="7" customWidth="1" min="26" max="26"/>
    <col width="7" customWidth="1" min="27" max="27"/>
    <col width="7" customWidth="1" min="28" max="28"/>
    <col width="7" customWidth="1" min="29" max="29"/>
    <col width="7" customWidth="1" min="30" max="30"/>
    <col width="7" customWidth="1" min="31" max="31"/>
    <col width="7" customWidth="1" min="32" max="32"/>
    <col width="7" customWidth="1" min="33" max="33"/>
  </cols>
  <sheetData>
    <row r="1">
      <c r="A1" s="1" t="inlineStr">
        <is>
          <t>Kanıt kodları (0-4)</t>
        </is>
      </c>
    </row>
    <row r="2">
      <c r="A2" s="3" t="inlineStr">
        <is>
          <t>0 varsayım, 1 kaynak ya da beyan, 2 davranış, 3 ödeme, 4 tekrarlanan ödeme.</t>
        </is>
      </c>
    </row>
    <row r="4">
      <c r="A4" s="18" t="inlineStr">
        <is>
          <t>Kimlik</t>
        </is>
      </c>
      <c r="B4" s="18" t="inlineStr">
        <is>
          <t>Seçenek</t>
        </is>
      </c>
      <c r="C4" s="19" t="inlineStr">
        <is>
          <t>A1</t>
        </is>
      </c>
      <c r="D4" s="19" t="inlineStr">
        <is>
          <t>A2</t>
        </is>
      </c>
      <c r="E4" s="19" t="inlineStr">
        <is>
          <t>A3</t>
        </is>
      </c>
      <c r="F4" s="19" t="inlineStr">
        <is>
          <t>A4</t>
        </is>
      </c>
      <c r="G4" s="19" t="inlineStr">
        <is>
          <t>A5</t>
        </is>
      </c>
      <c r="H4" s="19" t="inlineStr">
        <is>
          <t>A6</t>
        </is>
      </c>
      <c r="I4" s="19" t="inlineStr">
        <is>
          <t>B1</t>
        </is>
      </c>
      <c r="J4" s="19" t="inlineStr">
        <is>
          <t>B2</t>
        </is>
      </c>
      <c r="K4" s="19" t="inlineStr">
        <is>
          <t>B3</t>
        </is>
      </c>
      <c r="L4" s="19" t="inlineStr">
        <is>
          <t>B4</t>
        </is>
      </c>
      <c r="M4" s="19" t="inlineStr">
        <is>
          <t>B5</t>
        </is>
      </c>
      <c r="N4" s="19" t="inlineStr">
        <is>
          <t>B6</t>
        </is>
      </c>
      <c r="O4" s="19" t="inlineStr">
        <is>
          <t>C1</t>
        </is>
      </c>
      <c r="P4" s="19" t="inlineStr">
        <is>
          <t>C2</t>
        </is>
      </c>
      <c r="Q4" s="19" t="inlineStr">
        <is>
          <t>C3</t>
        </is>
      </c>
      <c r="R4" s="19" t="inlineStr">
        <is>
          <t>C4</t>
        </is>
      </c>
      <c r="S4" s="19" t="inlineStr">
        <is>
          <t>C5</t>
        </is>
      </c>
      <c r="T4" s="19" t="inlineStr">
        <is>
          <t>C6</t>
        </is>
      </c>
      <c r="U4" s="19" t="inlineStr">
        <is>
          <t>D1</t>
        </is>
      </c>
      <c r="V4" s="19" t="inlineStr">
        <is>
          <t>D2</t>
        </is>
      </c>
      <c r="W4" s="19" t="inlineStr">
        <is>
          <t>D3</t>
        </is>
      </c>
      <c r="X4" s="19" t="inlineStr">
        <is>
          <t>E1</t>
        </is>
      </c>
      <c r="Y4" s="19" t="inlineStr">
        <is>
          <t>E2</t>
        </is>
      </c>
      <c r="Z4" s="19" t="inlineStr">
        <is>
          <t>F1</t>
        </is>
      </c>
      <c r="AA4" s="19" t="inlineStr">
        <is>
          <t>F2</t>
        </is>
      </c>
      <c r="AB4" s="19" t="inlineStr">
        <is>
          <t>F3</t>
        </is>
      </c>
      <c r="AD4" s="19" t="inlineStr">
        <is>
          <t>S1</t>
        </is>
      </c>
      <c r="AE4" s="19" t="inlineStr">
        <is>
          <t>S2</t>
        </is>
      </c>
      <c r="AF4" s="19" t="inlineStr">
        <is>
          <t>S3</t>
        </is>
      </c>
      <c r="AG4" s="19" t="inlineStr">
        <is>
          <t>S4</t>
        </is>
      </c>
    </row>
    <row r="5">
      <c r="A5" s="7" t="str">
        <f>Secenekler!A5</f>
        <v>zabuno-a</v>
      </c>
      <c r="B5" s="7" t="str">
        <f>Secenekler!C5</f>
        <v>Kafe aboneliği: kurulum dahil Restaurant planı</v>
      </c>
      <c r="C5" s="20" t="n">
        <v>1</v>
      </c>
      <c r="D5" s="20" t="n">
        <v>1</v>
      </c>
      <c r="E5" s="20" t="n">
        <v>1</v>
      </c>
      <c r="F5" s="20" t="n">
        <v>1</v>
      </c>
      <c r="G5" s="20" t="n">
        <v>0</v>
      </c>
      <c r="H5" s="20" t="n">
        <v>1</v>
      </c>
      <c r="I5" s="20" t="n">
        <v>0</v>
      </c>
      <c r="J5" s="20" t="n">
        <v>1</v>
      </c>
      <c r="K5" s="20" t="n">
        <v>0</v>
      </c>
      <c r="L5" s="20" t="n">
        <v>0</v>
      </c>
      <c r="M5" s="20" t="n">
        <v>0</v>
      </c>
      <c r="N5" s="20" t="n">
        <v>0</v>
      </c>
      <c r="O5" s="20" t="n">
        <v>0</v>
      </c>
      <c r="P5" s="20" t="n">
        <v>0</v>
      </c>
      <c r="Q5" s="20" t="n">
        <v>0</v>
      </c>
      <c r="R5" s="20" t="n">
        <v>1</v>
      </c>
      <c r="S5" s="20" t="n">
        <v>1</v>
      </c>
      <c r="T5" s="20" t="n">
        <v>1</v>
      </c>
      <c r="U5" s="20" t="n">
        <v>1</v>
      </c>
      <c r="V5" s="20" t="n">
        <v>1</v>
      </c>
      <c r="W5" s="20" t="n">
        <v>1</v>
      </c>
      <c r="X5" s="20" t="n">
        <v>1</v>
      </c>
      <c r="Y5" s="20" t="n">
        <v>1</v>
      </c>
      <c r="Z5" s="20" t="n">
        <v>0</v>
      </c>
      <c r="AA5" s="20" t="n">
        <v>1</v>
      </c>
      <c r="AB5" s="20" t="n">
        <v>1</v>
      </c>
      <c r="AD5" s="20" t="n">
        <v>1</v>
      </c>
      <c r="AE5" s="20" t="n">
        <v>1</v>
      </c>
      <c r="AF5" s="20" t="n">
        <v>1</v>
      </c>
      <c r="AG5" s="20" t="n">
        <v>0</v>
      </c>
    </row>
    <row r="6">
      <c r="A6" s="7" t="str">
        <f>Secenekler!A6</f>
        <v>zabuno-b</v>
      </c>
      <c r="B6" s="7" t="str">
        <f>Secenekler!C6</f>
        <v>Zincir planı: çok şubeli kahve zinciri pilotu</v>
      </c>
      <c r="C6" s="20" t="n">
        <v>1</v>
      </c>
      <c r="D6" s="20" t="n">
        <v>1</v>
      </c>
      <c r="E6" s="20" t="n">
        <v>0</v>
      </c>
      <c r="F6" s="20" t="n">
        <v>1</v>
      </c>
      <c r="G6" s="20" t="n">
        <v>1</v>
      </c>
      <c r="H6" s="20" t="n">
        <v>1</v>
      </c>
      <c r="I6" s="20" t="n">
        <v>2</v>
      </c>
      <c r="J6" s="20" t="n">
        <v>0</v>
      </c>
      <c r="K6" s="20" t="n">
        <v>0</v>
      </c>
      <c r="L6" s="20" t="n">
        <v>0</v>
      </c>
      <c r="M6" s="20" t="n">
        <v>1</v>
      </c>
      <c r="N6" s="20" t="n">
        <v>0</v>
      </c>
      <c r="O6" s="20" t="n">
        <v>0</v>
      </c>
      <c r="P6" s="20" t="n">
        <v>0</v>
      </c>
      <c r="Q6" s="20" t="n">
        <v>0</v>
      </c>
      <c r="R6" s="20" t="n">
        <v>1</v>
      </c>
      <c r="S6" s="20" t="n">
        <v>1</v>
      </c>
      <c r="T6" s="20" t="n">
        <v>1</v>
      </c>
      <c r="U6" s="20" t="n">
        <v>0</v>
      </c>
      <c r="V6" s="20" t="n">
        <v>1</v>
      </c>
      <c r="W6" s="20" t="n">
        <v>0</v>
      </c>
      <c r="X6" s="20" t="n">
        <v>1</v>
      </c>
      <c r="Y6" s="20" t="n">
        <v>1</v>
      </c>
      <c r="Z6" s="20" t="n">
        <v>0</v>
      </c>
      <c r="AA6" s="20" t="n">
        <v>1</v>
      </c>
      <c r="AB6" s="20" t="n">
        <v>0</v>
      </c>
      <c r="AD6" s="20" t="n">
        <v>0</v>
      </c>
      <c r="AE6" s="20" t="n">
        <v>1</v>
      </c>
      <c r="AF6" s="20" t="n">
        <v>1</v>
      </c>
      <c r="AG6" s="20" t="n">
        <v>1</v>
      </c>
    </row>
    <row r="7">
      <c r="A7" s="7" t="str">
        <f>Secenekler!A7</f>
        <v>zabuno-c</v>
      </c>
      <c r="B7" s="7" t="str">
        <f>Secenekler!C7</f>
        <v>Restoran paneli modül uyarlama hizmeti</v>
      </c>
      <c r="C7" s="20" t="n">
        <v>0</v>
      </c>
      <c r="D7" s="20" t="n">
        <v>0</v>
      </c>
      <c r="E7" s="20" t="n">
        <v>0</v>
      </c>
      <c r="F7" s="20" t="n">
        <v>0</v>
      </c>
      <c r="G7" s="20" t="n">
        <v>0</v>
      </c>
      <c r="H7" s="20" t="n">
        <v>0</v>
      </c>
      <c r="I7" s="20" t="n">
        <v>0</v>
      </c>
      <c r="J7" s="20" t="n">
        <v>0</v>
      </c>
      <c r="K7" s="20" t="n">
        <v>0</v>
      </c>
      <c r="L7" s="20" t="n">
        <v>0</v>
      </c>
      <c r="M7" s="20" t="n">
        <v>0</v>
      </c>
      <c r="N7" s="20" t="n">
        <v>0</v>
      </c>
      <c r="O7" s="20" t="n">
        <v>0</v>
      </c>
      <c r="P7" s="20" t="n">
        <v>0</v>
      </c>
      <c r="Q7" s="20" t="n">
        <v>0</v>
      </c>
      <c r="R7" s="20" t="n">
        <v>0</v>
      </c>
      <c r="S7" s="20" t="n">
        <v>0</v>
      </c>
      <c r="T7" s="20" t="n">
        <v>0</v>
      </c>
      <c r="U7" s="20" t="n">
        <v>0</v>
      </c>
      <c r="V7" s="20" t="n">
        <v>0</v>
      </c>
      <c r="W7" s="20" t="n">
        <v>0</v>
      </c>
      <c r="X7" s="20" t="n">
        <v>0</v>
      </c>
      <c r="Y7" s="20" t="n">
        <v>0</v>
      </c>
      <c r="Z7" s="20" t="n">
        <v>0</v>
      </c>
      <c r="AA7" s="20" t="n">
        <v>0</v>
      </c>
      <c r="AB7" s="20" t="n">
        <v>0</v>
      </c>
      <c r="AD7" s="20" t="n">
        <v>0</v>
      </c>
      <c r="AE7" s="20" t="n">
        <v>0</v>
      </c>
      <c r="AF7" s="20" t="n">
        <v>0</v>
      </c>
      <c r="AG7" s="20" t="n">
        <v>0</v>
      </c>
    </row>
    <row r="8">
      <c r="A8" s="7" t="str">
        <f>Secenekler!A8</f>
        <v>parselq-a</v>
      </c>
      <c r="B8" s="7" t="str">
        <f>Secenekler!C8</f>
        <v>ParselQ Rapor: tek parsel bilgi notu (bireysel alıcı)</v>
      </c>
      <c r="C8" s="20" t="n">
        <v>1</v>
      </c>
      <c r="D8" s="20" t="n">
        <v>0</v>
      </c>
      <c r="E8" s="20" t="n">
        <v>1</v>
      </c>
      <c r="F8" s="20" t="n">
        <v>1</v>
      </c>
      <c r="G8" s="20" t="n">
        <v>0</v>
      </c>
      <c r="H8" s="20" t="n">
        <v>1</v>
      </c>
      <c r="I8" s="20" t="n">
        <v>0</v>
      </c>
      <c r="J8" s="20" t="n">
        <v>0</v>
      </c>
      <c r="K8" s="20" t="n">
        <v>0</v>
      </c>
      <c r="L8" s="20" t="n">
        <v>0</v>
      </c>
      <c r="M8" s="20" t="n">
        <v>1</v>
      </c>
      <c r="N8" s="20" t="n">
        <v>0</v>
      </c>
      <c r="O8" s="20" t="n">
        <v>0</v>
      </c>
      <c r="P8" s="20" t="n">
        <v>0</v>
      </c>
      <c r="Q8" s="20" t="n">
        <v>0</v>
      </c>
      <c r="R8" s="20" t="n">
        <v>0</v>
      </c>
      <c r="S8" s="20" t="n">
        <v>0</v>
      </c>
      <c r="T8" s="20" t="n">
        <v>0</v>
      </c>
      <c r="U8" s="20" t="n">
        <v>1</v>
      </c>
      <c r="V8" s="20" t="n">
        <v>0</v>
      </c>
      <c r="W8" s="20" t="n">
        <v>0</v>
      </c>
      <c r="X8" s="20" t="n">
        <v>0</v>
      </c>
      <c r="Y8" s="20" t="n">
        <v>1</v>
      </c>
      <c r="Z8" s="20" t="n">
        <v>0</v>
      </c>
      <c r="AA8" s="20" t="n">
        <v>1</v>
      </c>
      <c r="AB8" s="20" t="n">
        <v>0</v>
      </c>
      <c r="AD8" s="20" t="n">
        <v>1</v>
      </c>
      <c r="AE8" s="20" t="n">
        <v>1</v>
      </c>
      <c r="AF8" s="20" t="n">
        <v>0</v>
      </c>
      <c r="AG8" s="20" t="n">
        <v>0</v>
      </c>
    </row>
    <row r="9">
      <c r="A9" s="7" t="str">
        <f>Secenekler!A9</f>
        <v>parselq-b</v>
      </c>
      <c r="B9" s="7" t="str">
        <f>Secenekler!C9</f>
        <v>Parsel Kartı: emlakçıya arsa ilanı için güven kartı aboneliği</v>
      </c>
      <c r="C9" s="20" t="n">
        <v>0</v>
      </c>
      <c r="D9" s="20" t="n">
        <v>0</v>
      </c>
      <c r="E9" s="20" t="n">
        <v>0</v>
      </c>
      <c r="F9" s="20" t="n">
        <v>1</v>
      </c>
      <c r="G9" s="20" t="n">
        <v>0</v>
      </c>
      <c r="H9" s="20" t="n">
        <v>1</v>
      </c>
      <c r="I9" s="20" t="n">
        <v>1</v>
      </c>
      <c r="J9" s="20" t="n">
        <v>0</v>
      </c>
      <c r="K9" s="20" t="n">
        <v>0</v>
      </c>
      <c r="L9" s="20" t="n">
        <v>0</v>
      </c>
      <c r="M9" s="20" t="n">
        <v>1</v>
      </c>
      <c r="N9" s="20" t="n">
        <v>0</v>
      </c>
      <c r="O9" s="20" t="n">
        <v>0</v>
      </c>
      <c r="P9" s="20" t="n">
        <v>0</v>
      </c>
      <c r="Q9" s="20" t="n">
        <v>0</v>
      </c>
      <c r="R9" s="20" t="n">
        <v>0</v>
      </c>
      <c r="S9" s="20" t="n">
        <v>0</v>
      </c>
      <c r="T9" s="20" t="n">
        <v>0</v>
      </c>
      <c r="U9" s="20" t="n">
        <v>1</v>
      </c>
      <c r="V9" s="20" t="n">
        <v>0</v>
      </c>
      <c r="W9" s="20" t="n">
        <v>0</v>
      </c>
      <c r="X9" s="20" t="n">
        <v>0</v>
      </c>
      <c r="Y9" s="20" t="n">
        <v>0</v>
      </c>
      <c r="Z9" s="20" t="n">
        <v>0</v>
      </c>
      <c r="AA9" s="20" t="n">
        <v>1</v>
      </c>
      <c r="AB9" s="20" t="n">
        <v>0</v>
      </c>
      <c r="AD9" s="20" t="n">
        <v>1</v>
      </c>
      <c r="AE9" s="20" t="n">
        <v>0</v>
      </c>
      <c r="AF9" s="20" t="n">
        <v>0</v>
      </c>
      <c r="AG9" s="20" t="n">
        <v>0</v>
      </c>
    </row>
    <row r="10">
      <c r="A10" s="7" t="str">
        <f>Secenekler!A10</f>
        <v>parselq-c</v>
      </c>
      <c r="B10" s="7" t="str">
        <f>Secenekler!C10</f>
        <v>Uzmanlı karar dosyası: kaynak izli arsa raporu (danışmanlık ofisi)</v>
      </c>
      <c r="C10" s="20" t="n">
        <v>0</v>
      </c>
      <c r="D10" s="20" t="n">
        <v>0</v>
      </c>
      <c r="E10" s="20" t="n">
        <v>0</v>
      </c>
      <c r="F10" s="20" t="n">
        <v>0</v>
      </c>
      <c r="G10" s="20" t="n">
        <v>0</v>
      </c>
      <c r="H10" s="20" t="n">
        <v>0</v>
      </c>
      <c r="I10" s="20" t="n">
        <v>0</v>
      </c>
      <c r="J10" s="20" t="n">
        <v>0</v>
      </c>
      <c r="K10" s="20" t="n">
        <v>0</v>
      </c>
      <c r="L10" s="20" t="n">
        <v>0</v>
      </c>
      <c r="M10" s="20" t="n">
        <v>0</v>
      </c>
      <c r="N10" s="20" t="n">
        <v>0</v>
      </c>
      <c r="O10" s="20" t="n">
        <v>0</v>
      </c>
      <c r="P10" s="20" t="n">
        <v>0</v>
      </c>
      <c r="Q10" s="20" t="n">
        <v>0</v>
      </c>
      <c r="R10" s="20" t="n">
        <v>0</v>
      </c>
      <c r="S10" s="20" t="n">
        <v>0</v>
      </c>
      <c r="T10" s="20" t="n">
        <v>0</v>
      </c>
      <c r="U10" s="20" t="n">
        <v>1</v>
      </c>
      <c r="V10" s="20" t="n">
        <v>0</v>
      </c>
      <c r="W10" s="20" t="n">
        <v>0</v>
      </c>
      <c r="X10" s="20" t="n">
        <v>0</v>
      </c>
      <c r="Y10" s="20" t="n">
        <v>0</v>
      </c>
      <c r="Z10" s="20" t="n">
        <v>0</v>
      </c>
      <c r="AA10" s="20" t="n">
        <v>0</v>
      </c>
      <c r="AB10" s="20" t="n">
        <v>0</v>
      </c>
      <c r="AD10" s="20" t="n">
        <v>0</v>
      </c>
      <c r="AE10" s="20" t="n">
        <v>0</v>
      </c>
      <c r="AF10" s="20" t="n">
        <v>0</v>
      </c>
      <c r="AG10" s="20" t="n">
        <v>0</v>
      </c>
    </row>
    <row r="11">
      <c r="A11" s="7" t="str">
        <f>Secenekler!A11</f>
        <v>destektesvik-a</v>
      </c>
      <c r="B11" s="7" t="str">
        <f>Secenekler!C11</f>
        <v>Uzman onaylı ön değerlendirme raporu (KOBİ)</v>
      </c>
      <c r="C11" s="20" t="n">
        <v>1</v>
      </c>
      <c r="D11" s="20" t="n">
        <v>1</v>
      </c>
      <c r="E11" s="20" t="n">
        <v>1</v>
      </c>
      <c r="F11" s="20" t="n">
        <v>1</v>
      </c>
      <c r="G11" s="20" t="n">
        <v>0</v>
      </c>
      <c r="H11" s="20" t="n">
        <v>1</v>
      </c>
      <c r="I11" s="20" t="n">
        <v>1</v>
      </c>
      <c r="J11" s="20" t="n">
        <v>0</v>
      </c>
      <c r="K11" s="20" t="n">
        <v>0</v>
      </c>
      <c r="L11" s="20" t="n">
        <v>0</v>
      </c>
      <c r="M11" s="20" t="n">
        <v>1</v>
      </c>
      <c r="N11" s="20" t="n">
        <v>1</v>
      </c>
      <c r="O11" s="20" t="n">
        <v>0</v>
      </c>
      <c r="P11" s="20" t="n">
        <v>0</v>
      </c>
      <c r="Q11" s="20" t="n">
        <v>0</v>
      </c>
      <c r="R11" s="20" t="n">
        <v>0</v>
      </c>
      <c r="S11" s="20" t="n">
        <v>0</v>
      </c>
      <c r="T11" s="20" t="n">
        <v>0</v>
      </c>
      <c r="U11" s="20" t="n">
        <v>1</v>
      </c>
      <c r="V11" s="20" t="n">
        <v>1</v>
      </c>
      <c r="W11" s="20" t="n">
        <v>0</v>
      </c>
      <c r="X11" s="20" t="n">
        <v>0</v>
      </c>
      <c r="Y11" s="20" t="n">
        <v>1</v>
      </c>
      <c r="Z11" s="20" t="n">
        <v>0</v>
      </c>
      <c r="AA11" s="20" t="n">
        <v>0</v>
      </c>
      <c r="AB11" s="20" t="n">
        <v>0</v>
      </c>
      <c r="AD11" s="20" t="n">
        <v>1</v>
      </c>
      <c r="AE11" s="20" t="n">
        <v>1</v>
      </c>
      <c r="AF11" s="20" t="n">
        <v>0</v>
      </c>
      <c r="AG11" s="20" t="n">
        <v>0</v>
      </c>
    </row>
    <row r="12">
      <c r="A12" s="7" t="str">
        <f>Secenekler!A12</f>
        <v>destektesvik-b</v>
      </c>
      <c r="B12" s="7" t="str">
        <f>Secenekler!C12</f>
        <v>Mali müşavir ve danışman portföy tarama paketi</v>
      </c>
      <c r="C12" s="20" t="n">
        <v>0</v>
      </c>
      <c r="D12" s="20" t="n">
        <v>1</v>
      </c>
      <c r="E12" s="20" t="n">
        <v>1</v>
      </c>
      <c r="F12" s="20" t="n">
        <v>1</v>
      </c>
      <c r="G12" s="20" t="n">
        <v>0</v>
      </c>
      <c r="H12" s="20" t="n">
        <v>1</v>
      </c>
      <c r="I12" s="20" t="n">
        <v>0</v>
      </c>
      <c r="J12" s="20" t="n">
        <v>0</v>
      </c>
      <c r="K12" s="20" t="n">
        <v>0</v>
      </c>
      <c r="L12" s="20" t="n">
        <v>0</v>
      </c>
      <c r="M12" s="20" t="n">
        <v>1</v>
      </c>
      <c r="N12" s="20" t="n">
        <v>0</v>
      </c>
      <c r="O12" s="20" t="n">
        <v>0</v>
      </c>
      <c r="P12" s="20" t="n">
        <v>0</v>
      </c>
      <c r="Q12" s="20" t="n">
        <v>0</v>
      </c>
      <c r="R12" s="20" t="n">
        <v>0</v>
      </c>
      <c r="S12" s="20" t="n">
        <v>0</v>
      </c>
      <c r="T12" s="20" t="n">
        <v>0</v>
      </c>
      <c r="U12" s="20" t="n">
        <v>1</v>
      </c>
      <c r="V12" s="20" t="n">
        <v>1</v>
      </c>
      <c r="W12" s="20" t="n">
        <v>0</v>
      </c>
      <c r="X12" s="20" t="n">
        <v>0</v>
      </c>
      <c r="Y12" s="20" t="n">
        <v>1</v>
      </c>
      <c r="Z12" s="20" t="n">
        <v>0</v>
      </c>
      <c r="AA12" s="20" t="n">
        <v>0</v>
      </c>
      <c r="AB12" s="20" t="n">
        <v>0</v>
      </c>
      <c r="AD12" s="20" t="n">
        <v>1</v>
      </c>
      <c r="AE12" s="20" t="n">
        <v>0</v>
      </c>
      <c r="AF12" s="20" t="n">
        <v>0</v>
      </c>
      <c r="AG12" s="20" t="n">
        <v>0</v>
      </c>
    </row>
    <row r="13">
      <c r="A13" s="7" t="str">
        <f>Secenekler!A13</f>
        <v>destektesvik-c</v>
      </c>
      <c r="B13" s="7" t="str">
        <f>Secenekler!C13</f>
        <v>Oda ve OSB üye taraması sponsorluk paketi</v>
      </c>
      <c r="C13" s="20" t="n">
        <v>0</v>
      </c>
      <c r="D13" s="20" t="n">
        <v>0</v>
      </c>
      <c r="E13" s="20" t="n">
        <v>0</v>
      </c>
      <c r="F13" s="20" t="n">
        <v>1</v>
      </c>
      <c r="G13" s="20" t="n">
        <v>0</v>
      </c>
      <c r="H13" s="20" t="n">
        <v>0</v>
      </c>
      <c r="I13" s="20" t="n">
        <v>0</v>
      </c>
      <c r="J13" s="20" t="n">
        <v>0</v>
      </c>
      <c r="K13" s="20" t="n">
        <v>0</v>
      </c>
      <c r="L13" s="20" t="n">
        <v>0</v>
      </c>
      <c r="M13" s="20" t="n">
        <v>1</v>
      </c>
      <c r="N13" s="20" t="n">
        <v>0</v>
      </c>
      <c r="O13" s="20" t="n">
        <v>0</v>
      </c>
      <c r="P13" s="20" t="n">
        <v>0</v>
      </c>
      <c r="Q13" s="20" t="n">
        <v>0</v>
      </c>
      <c r="R13" s="20" t="n">
        <v>0</v>
      </c>
      <c r="S13" s="20" t="n">
        <v>0</v>
      </c>
      <c r="T13" s="20" t="n">
        <v>0</v>
      </c>
      <c r="U13" s="20" t="n">
        <v>1</v>
      </c>
      <c r="V13" s="20" t="n">
        <v>0</v>
      </c>
      <c r="W13" s="20" t="n">
        <v>0</v>
      </c>
      <c r="X13" s="20" t="n">
        <v>0</v>
      </c>
      <c r="Y13" s="20" t="n">
        <v>0</v>
      </c>
      <c r="Z13" s="20" t="n">
        <v>0</v>
      </c>
      <c r="AA13" s="20" t="n">
        <v>0</v>
      </c>
      <c r="AB13" s="20" t="n">
        <v>0</v>
      </c>
      <c r="AD13" s="20" t="n">
        <v>1</v>
      </c>
      <c r="AE13" s="20" t="n">
        <v>0</v>
      </c>
      <c r="AF13" s="20" t="n">
        <v>0</v>
      </c>
      <c r="AG13" s="20" t="n">
        <v>0</v>
      </c>
    </row>
    <row r="14">
      <c r="A14" s="7" t="str">
        <f>Secenekler!A14</f>
        <v>asgari-iscilik-a</v>
      </c>
      <c r="B14" s="7" t="str">
        <f>Secenekler!C14</f>
        <v>Bir inşaat firmasına sabit fiyatlı uyum yazılımı projesi</v>
      </c>
      <c r="C14" s="20" t="n">
        <v>1</v>
      </c>
      <c r="D14" s="20" t="n">
        <v>1</v>
      </c>
      <c r="E14" s="20" t="n">
        <v>1</v>
      </c>
      <c r="F14" s="20" t="n">
        <v>1</v>
      </c>
      <c r="G14" s="20" t="n">
        <v>1</v>
      </c>
      <c r="H14" s="20" t="n">
        <v>1</v>
      </c>
      <c r="I14" s="20" t="n">
        <v>2</v>
      </c>
      <c r="J14" s="20" t="n">
        <v>0</v>
      </c>
      <c r="K14" s="20" t="n">
        <v>0</v>
      </c>
      <c r="L14" s="20" t="n">
        <v>0</v>
      </c>
      <c r="M14" s="20" t="n">
        <v>1</v>
      </c>
      <c r="N14" s="20" t="n">
        <v>1</v>
      </c>
      <c r="O14" s="20" t="n">
        <v>0</v>
      </c>
      <c r="P14" s="20" t="n">
        <v>1</v>
      </c>
      <c r="Q14" s="20" t="n">
        <v>1</v>
      </c>
      <c r="R14" s="20" t="n">
        <v>0</v>
      </c>
      <c r="S14" s="20" t="n">
        <v>1</v>
      </c>
      <c r="T14" s="20" t="n">
        <v>1</v>
      </c>
      <c r="U14" s="20" t="n">
        <v>1</v>
      </c>
      <c r="V14" s="20" t="n">
        <v>0</v>
      </c>
      <c r="W14" s="20" t="n">
        <v>0</v>
      </c>
      <c r="X14" s="20" t="n">
        <v>1</v>
      </c>
      <c r="Y14" s="20" t="n">
        <v>1</v>
      </c>
      <c r="Z14" s="20" t="n">
        <v>0</v>
      </c>
      <c r="AA14" s="20" t="n">
        <v>1</v>
      </c>
      <c r="AB14" s="20" t="n">
        <v>0</v>
      </c>
      <c r="AD14" s="20" t="n">
        <v>1</v>
      </c>
      <c r="AE14" s="20" t="n">
        <v>1</v>
      </c>
      <c r="AF14" s="20" t="n">
        <v>0</v>
      </c>
      <c r="AG14" s="20" t="n">
        <v>0</v>
      </c>
    </row>
    <row r="15">
      <c r="A15" s="7" t="str">
        <f>Secenekler!A15</f>
        <v>asgari-iscilik-b</v>
      </c>
      <c r="B15" s="7" t="str">
        <f>Secenekler!C15</f>
        <v>Mali müşavir ve yükleniciye aylık abonelik (çok kiracılı platform)</v>
      </c>
      <c r="C15" s="20" t="n">
        <v>1</v>
      </c>
      <c r="D15" s="20" t="n">
        <v>1</v>
      </c>
      <c r="E15" s="20" t="n">
        <v>0</v>
      </c>
      <c r="F15" s="20" t="n">
        <v>1</v>
      </c>
      <c r="G15" s="20" t="n">
        <v>0</v>
      </c>
      <c r="H15" s="20" t="n">
        <v>1</v>
      </c>
      <c r="I15" s="20" t="n">
        <v>1</v>
      </c>
      <c r="J15" s="20" t="n">
        <v>0</v>
      </c>
      <c r="K15" s="20" t="n">
        <v>0</v>
      </c>
      <c r="L15" s="20" t="n">
        <v>0</v>
      </c>
      <c r="M15" s="20" t="n">
        <v>1</v>
      </c>
      <c r="N15" s="20" t="n">
        <v>0</v>
      </c>
      <c r="O15" s="20" t="n">
        <v>0</v>
      </c>
      <c r="P15" s="20" t="n">
        <v>1</v>
      </c>
      <c r="Q15" s="20" t="n">
        <v>0</v>
      </c>
      <c r="R15" s="20" t="n">
        <v>0</v>
      </c>
      <c r="S15" s="20" t="n">
        <v>0</v>
      </c>
      <c r="T15" s="20" t="n">
        <v>0</v>
      </c>
      <c r="U15" s="20" t="n">
        <v>0</v>
      </c>
      <c r="V15" s="20" t="n">
        <v>0</v>
      </c>
      <c r="W15" s="20" t="n">
        <v>0</v>
      </c>
      <c r="X15" s="20" t="n">
        <v>0</v>
      </c>
      <c r="Y15" s="20" t="n">
        <v>1</v>
      </c>
      <c r="Z15" s="20" t="n">
        <v>0</v>
      </c>
      <c r="AA15" s="20" t="n">
        <v>1</v>
      </c>
      <c r="AB15" s="20" t="n">
        <v>0</v>
      </c>
      <c r="AD15" s="20" t="n">
        <v>1</v>
      </c>
      <c r="AE15" s="20" t="n">
        <v>1</v>
      </c>
      <c r="AF15" s="20" t="n">
        <v>0</v>
      </c>
      <c r="AG15" s="20" t="n">
        <v>0</v>
      </c>
    </row>
    <row r="16">
      <c r="A16" s="7" t="str">
        <f>Secenekler!A16</f>
        <v>asgari-iscilik-c</v>
      </c>
      <c r="B16" s="7" t="str">
        <f>Secenekler!C16</f>
        <v>Asgari işçilik hesap ve dosya kontrol raporu (uzman teyitli)</v>
      </c>
      <c r="C16" s="20" t="n">
        <v>1</v>
      </c>
      <c r="D16" s="20" t="n">
        <v>1</v>
      </c>
      <c r="E16" s="20" t="n">
        <v>0</v>
      </c>
      <c r="F16" s="20" t="n">
        <v>1</v>
      </c>
      <c r="G16" s="20" t="n">
        <v>0</v>
      </c>
      <c r="H16" s="20" t="n">
        <v>0</v>
      </c>
      <c r="I16" s="20" t="n">
        <v>1</v>
      </c>
      <c r="J16" s="20" t="n">
        <v>0</v>
      </c>
      <c r="K16" s="20" t="n">
        <v>0</v>
      </c>
      <c r="L16" s="20" t="n">
        <v>0</v>
      </c>
      <c r="M16" s="20" t="n">
        <v>1</v>
      </c>
      <c r="N16" s="20" t="n">
        <v>0</v>
      </c>
      <c r="O16" s="20" t="n">
        <v>0</v>
      </c>
      <c r="P16" s="20" t="n">
        <v>1</v>
      </c>
      <c r="Q16" s="20" t="n">
        <v>0</v>
      </c>
      <c r="R16" s="20" t="n">
        <v>0</v>
      </c>
      <c r="S16" s="20" t="n">
        <v>0</v>
      </c>
      <c r="T16" s="20" t="n">
        <v>0</v>
      </c>
      <c r="U16" s="20" t="n">
        <v>0</v>
      </c>
      <c r="V16" s="20" t="n">
        <v>0</v>
      </c>
      <c r="W16" s="20" t="n">
        <v>0</v>
      </c>
      <c r="X16" s="20" t="n">
        <v>0</v>
      </c>
      <c r="Y16" s="20" t="n">
        <v>1</v>
      </c>
      <c r="Z16" s="20" t="n">
        <v>0</v>
      </c>
      <c r="AA16" s="20" t="n">
        <v>1</v>
      </c>
      <c r="AB16" s="20" t="n">
        <v>0</v>
      </c>
      <c r="AD16" s="20" t="n">
        <v>1</v>
      </c>
      <c r="AE16" s="20" t="n">
        <v>0</v>
      </c>
      <c r="AF16" s="20" t="n">
        <v>0</v>
      </c>
      <c r="AG16" s="20" t="n">
        <v>0</v>
      </c>
    </row>
    <row r="17">
      <c r="A17" s="7" t="str">
        <f>Secenekler!A17</f>
        <v>zincir-danismanligi-a</v>
      </c>
      <c r="B17" s="7" t="str">
        <f>Secenekler!C17</f>
        <v>90 günlük dijital satış sistemi paketi (çok şubeli zincir)</v>
      </c>
      <c r="C17" s="20" t="n">
        <v>1</v>
      </c>
      <c r="D17" s="20" t="n">
        <v>1</v>
      </c>
      <c r="E17" s="20" t="n">
        <v>2</v>
      </c>
      <c r="F17" s="20" t="n">
        <v>1</v>
      </c>
      <c r="G17" s="20" t="n">
        <v>1</v>
      </c>
      <c r="H17" s="20" t="n">
        <v>1</v>
      </c>
      <c r="I17" s="20" t="n">
        <v>2</v>
      </c>
      <c r="J17" s="20" t="n">
        <v>0</v>
      </c>
      <c r="K17" s="20" t="n">
        <v>0</v>
      </c>
      <c r="L17" s="20" t="n">
        <v>0</v>
      </c>
      <c r="M17" s="20" t="n">
        <v>1</v>
      </c>
      <c r="N17" s="20" t="n">
        <v>0</v>
      </c>
      <c r="O17" s="20" t="n">
        <v>0</v>
      </c>
      <c r="P17" s="20" t="n">
        <v>1</v>
      </c>
      <c r="Q17" s="20" t="n">
        <v>0</v>
      </c>
      <c r="R17" s="20" t="n">
        <v>0</v>
      </c>
      <c r="S17" s="20" t="n">
        <v>0</v>
      </c>
      <c r="T17" s="20" t="n">
        <v>1</v>
      </c>
      <c r="U17" s="20" t="n">
        <v>1</v>
      </c>
      <c r="V17" s="20" t="n">
        <v>0</v>
      </c>
      <c r="W17" s="20" t="n">
        <v>0</v>
      </c>
      <c r="X17" s="20" t="n">
        <v>2</v>
      </c>
      <c r="Y17" s="20" t="n">
        <v>1</v>
      </c>
      <c r="Z17" s="20" t="n">
        <v>0</v>
      </c>
      <c r="AA17" s="20" t="n">
        <v>0</v>
      </c>
      <c r="AB17" s="20" t="n">
        <v>0</v>
      </c>
      <c r="AD17" s="20" t="n">
        <v>1</v>
      </c>
      <c r="AE17" s="20" t="n">
        <v>0</v>
      </c>
      <c r="AF17" s="20" t="n">
        <v>0</v>
      </c>
      <c r="AG17" s="20" t="n">
        <v>1</v>
      </c>
    </row>
    <row r="18">
      <c r="A18" s="7" t="str">
        <f>Secenekler!A18</f>
        <v>zincir-danismanligi-b</v>
      </c>
      <c r="B18" s="7" t="str">
        <f>Secenekler!C18</f>
        <v>Kahve zinciri dijital denetim raporu (2 hafta)</v>
      </c>
      <c r="C18" s="20" t="n">
        <v>0</v>
      </c>
      <c r="D18" s="20" t="n">
        <v>0</v>
      </c>
      <c r="E18" s="20" t="n">
        <v>0</v>
      </c>
      <c r="F18" s="20" t="n">
        <v>1</v>
      </c>
      <c r="G18" s="20" t="n">
        <v>0</v>
      </c>
      <c r="H18" s="20" t="n">
        <v>0</v>
      </c>
      <c r="I18" s="20" t="n">
        <v>1</v>
      </c>
      <c r="J18" s="20" t="n">
        <v>0</v>
      </c>
      <c r="K18" s="20" t="n">
        <v>0</v>
      </c>
      <c r="L18" s="20" t="n">
        <v>0</v>
      </c>
      <c r="M18" s="20" t="n">
        <v>1</v>
      </c>
      <c r="N18" s="20" t="n">
        <v>1</v>
      </c>
      <c r="O18" s="20" t="n">
        <v>0</v>
      </c>
      <c r="P18" s="20" t="n">
        <v>1</v>
      </c>
      <c r="Q18" s="20" t="n">
        <v>0</v>
      </c>
      <c r="R18" s="20" t="n">
        <v>0</v>
      </c>
      <c r="S18" s="20" t="n">
        <v>0</v>
      </c>
      <c r="T18" s="20" t="n">
        <v>1</v>
      </c>
      <c r="U18" s="20" t="n">
        <v>0</v>
      </c>
      <c r="V18" s="20" t="n">
        <v>0</v>
      </c>
      <c r="W18" s="20" t="n">
        <v>0</v>
      </c>
      <c r="X18" s="20" t="n">
        <v>2</v>
      </c>
      <c r="Y18" s="20" t="n">
        <v>1</v>
      </c>
      <c r="Z18" s="20" t="n">
        <v>0</v>
      </c>
      <c r="AA18" s="20" t="n">
        <v>0</v>
      </c>
      <c r="AB18" s="20" t="n">
        <v>0</v>
      </c>
      <c r="AD18" s="20" t="n">
        <v>1</v>
      </c>
      <c r="AE18" s="20" t="n">
        <v>0</v>
      </c>
      <c r="AF18" s="20" t="n">
        <v>0</v>
      </c>
      <c r="AG18" s="20" t="n">
        <v>0</v>
      </c>
    </row>
    <row r="19">
      <c r="A19" s="7" t="str">
        <f>Secenekler!A19</f>
        <v>zincir-danismanligi-c</v>
      </c>
      <c r="B19" s="7" t="str">
        <f>Secenekler!C19</f>
        <v>Merkezden yönetilen şube QR menüsü (Zabuno zincir planı)</v>
      </c>
      <c r="C19" s="20" t="n">
        <v>1</v>
      </c>
      <c r="D19" s="20" t="n">
        <v>1</v>
      </c>
      <c r="E19" s="20" t="n">
        <v>0</v>
      </c>
      <c r="F19" s="20" t="n">
        <v>1</v>
      </c>
      <c r="G19" s="20" t="n">
        <v>1</v>
      </c>
      <c r="H19" s="20" t="n">
        <v>1</v>
      </c>
      <c r="I19" s="20" t="n">
        <v>2</v>
      </c>
      <c r="J19" s="20" t="n">
        <v>0</v>
      </c>
      <c r="K19" s="20" t="n">
        <v>0</v>
      </c>
      <c r="L19" s="20" t="n">
        <v>0</v>
      </c>
      <c r="M19" s="20" t="n">
        <v>1</v>
      </c>
      <c r="N19" s="20" t="n">
        <v>0</v>
      </c>
      <c r="O19" s="20" t="n">
        <v>0</v>
      </c>
      <c r="P19" s="20" t="n">
        <v>0</v>
      </c>
      <c r="Q19" s="20" t="n">
        <v>0</v>
      </c>
      <c r="R19" s="20" t="n">
        <v>1</v>
      </c>
      <c r="S19" s="20" t="n">
        <v>1</v>
      </c>
      <c r="T19" s="20" t="n">
        <v>1</v>
      </c>
      <c r="U19" s="20" t="n">
        <v>1</v>
      </c>
      <c r="V19" s="20" t="n">
        <v>1</v>
      </c>
      <c r="W19" s="20" t="n">
        <v>0</v>
      </c>
      <c r="X19" s="20" t="n">
        <v>1</v>
      </c>
      <c r="Y19" s="20" t="n">
        <v>1</v>
      </c>
      <c r="Z19" s="20" t="n">
        <v>0</v>
      </c>
      <c r="AA19" s="20" t="n">
        <v>1</v>
      </c>
      <c r="AB19" s="20" t="n">
        <v>0</v>
      </c>
      <c r="AD19" s="20" t="n">
        <v>1</v>
      </c>
      <c r="AE19" s="20" t="n">
        <v>1</v>
      </c>
      <c r="AF19" s="20" t="n">
        <v>1</v>
      </c>
      <c r="AG19" s="20" t="n">
        <v>1</v>
      </c>
    </row>
    <row r="20">
      <c r="A20" s="7" t="str">
        <f>Secenekler!A20</f>
        <v>kar-pusulasi-a</v>
      </c>
      <c r="B20" s="7" t="str">
        <f>Secenekler!C20</f>
        <v>Pro yıllık ve Kurucu Paketi (satıcıya yazılım)</v>
      </c>
      <c r="C20" s="20" t="n">
        <v>1</v>
      </c>
      <c r="D20" s="20" t="n">
        <v>1</v>
      </c>
      <c r="E20" s="20" t="n">
        <v>1</v>
      </c>
      <c r="F20" s="20" t="n">
        <v>1</v>
      </c>
      <c r="G20" s="20" t="n">
        <v>0</v>
      </c>
      <c r="H20" s="20" t="n">
        <v>1</v>
      </c>
      <c r="I20" s="20" t="n">
        <v>1</v>
      </c>
      <c r="J20" s="20" t="n">
        <v>1</v>
      </c>
      <c r="K20" s="20" t="n">
        <v>0</v>
      </c>
      <c r="L20" s="20" t="n">
        <v>0</v>
      </c>
      <c r="M20" s="20" t="n">
        <v>1</v>
      </c>
      <c r="N20" s="20" t="n">
        <v>1</v>
      </c>
      <c r="O20" s="20" t="n">
        <v>0</v>
      </c>
      <c r="P20" s="20" t="n">
        <v>1</v>
      </c>
      <c r="Q20" s="20" t="n">
        <v>0</v>
      </c>
      <c r="R20" s="20" t="n">
        <v>1</v>
      </c>
      <c r="S20" s="20" t="n">
        <v>0</v>
      </c>
      <c r="T20" s="20" t="n">
        <v>1</v>
      </c>
      <c r="U20" s="20" t="n">
        <v>1</v>
      </c>
      <c r="V20" s="20" t="n">
        <v>1</v>
      </c>
      <c r="W20" s="20" t="n">
        <v>0</v>
      </c>
      <c r="X20" s="20" t="n">
        <v>1</v>
      </c>
      <c r="Y20" s="20" t="n">
        <v>1</v>
      </c>
      <c r="Z20" s="20" t="n">
        <v>0</v>
      </c>
      <c r="AA20" s="20" t="n">
        <v>1</v>
      </c>
      <c r="AB20" s="20" t="n">
        <v>0</v>
      </c>
      <c r="AD20" s="20" t="n">
        <v>1</v>
      </c>
      <c r="AE20" s="20" t="n">
        <v>1</v>
      </c>
      <c r="AF20" s="20" t="n">
        <v>0</v>
      </c>
      <c r="AG20" s="20" t="n">
        <v>1</v>
      </c>
    </row>
    <row r="21">
      <c r="A21" s="7" t="str">
        <f>Secenekler!A21</f>
        <v>kar-pusulasi-b</v>
      </c>
      <c r="B21" s="7" t="str">
        <f>Secenekler!C21</f>
        <v>Danışman ve ajans paneli (aylık abonelik)</v>
      </c>
      <c r="C21" s="20" t="n">
        <v>0</v>
      </c>
      <c r="D21" s="20" t="n">
        <v>1</v>
      </c>
      <c r="E21" s="20" t="n">
        <v>0</v>
      </c>
      <c r="F21" s="20" t="n">
        <v>1</v>
      </c>
      <c r="G21" s="20" t="n">
        <v>0</v>
      </c>
      <c r="H21" s="20" t="n">
        <v>0</v>
      </c>
      <c r="I21" s="20" t="n">
        <v>0</v>
      </c>
      <c r="J21" s="20" t="n">
        <v>0</v>
      </c>
      <c r="K21" s="20" t="n">
        <v>0</v>
      </c>
      <c r="L21" s="20" t="n">
        <v>0</v>
      </c>
      <c r="M21" s="20" t="n">
        <v>0</v>
      </c>
      <c r="N21" s="20" t="n">
        <v>0</v>
      </c>
      <c r="O21" s="20" t="n">
        <v>0</v>
      </c>
      <c r="P21" s="20" t="n">
        <v>1</v>
      </c>
      <c r="Q21" s="20" t="n">
        <v>0</v>
      </c>
      <c r="R21" s="20" t="n">
        <v>0</v>
      </c>
      <c r="S21" s="20" t="n">
        <v>0</v>
      </c>
      <c r="T21" s="20" t="n">
        <v>0</v>
      </c>
      <c r="U21" s="20" t="n">
        <v>0</v>
      </c>
      <c r="V21" s="20" t="n">
        <v>1</v>
      </c>
      <c r="W21" s="20" t="n">
        <v>0</v>
      </c>
      <c r="X21" s="20" t="n">
        <v>1</v>
      </c>
      <c r="Y21" s="20" t="n">
        <v>1</v>
      </c>
      <c r="Z21" s="20" t="n">
        <v>0</v>
      </c>
      <c r="AA21" s="20" t="n">
        <v>1</v>
      </c>
      <c r="AB21" s="20" t="n">
        <v>0</v>
      </c>
      <c r="AD21" s="20" t="n">
        <v>0</v>
      </c>
      <c r="AE21" s="20" t="n">
        <v>0</v>
      </c>
      <c r="AF21" s="20" t="n">
        <v>0</v>
      </c>
      <c r="AG21" s="20" t="n">
        <v>0</v>
      </c>
    </row>
    <row r="22">
      <c r="A22" s="7" t="str">
        <f>Secenekler!A22</f>
        <v>kar-pusulasi-c</v>
      </c>
      <c r="B22" s="7" t="str">
        <f>Secenekler!C22</f>
        <v>SKU katkı raporu (sabit fiyatlı hizmet)</v>
      </c>
      <c r="C22" s="20" t="n">
        <v>1</v>
      </c>
      <c r="D22" s="20" t="n">
        <v>1</v>
      </c>
      <c r="E22" s="20" t="n">
        <v>1</v>
      </c>
      <c r="F22" s="20" t="n">
        <v>1</v>
      </c>
      <c r="G22" s="20" t="n">
        <v>0</v>
      </c>
      <c r="H22" s="20" t="n">
        <v>1</v>
      </c>
      <c r="I22" s="20" t="n">
        <v>1</v>
      </c>
      <c r="J22" s="20" t="n">
        <v>0</v>
      </c>
      <c r="K22" s="20" t="n">
        <v>0</v>
      </c>
      <c r="L22" s="20" t="n">
        <v>0</v>
      </c>
      <c r="M22" s="20" t="n">
        <v>1</v>
      </c>
      <c r="N22" s="20" t="n">
        <v>1</v>
      </c>
      <c r="O22" s="20" t="n">
        <v>0</v>
      </c>
      <c r="P22" s="20" t="n">
        <v>1</v>
      </c>
      <c r="Q22" s="20" t="n">
        <v>0</v>
      </c>
      <c r="R22" s="20" t="n">
        <v>0</v>
      </c>
      <c r="S22" s="20" t="n">
        <v>0</v>
      </c>
      <c r="T22" s="20" t="n">
        <v>0</v>
      </c>
      <c r="U22" s="20" t="n">
        <v>1</v>
      </c>
      <c r="V22" s="20" t="n">
        <v>1</v>
      </c>
      <c r="W22" s="20" t="n">
        <v>0</v>
      </c>
      <c r="X22" s="20" t="n">
        <v>1</v>
      </c>
      <c r="Y22" s="20" t="n">
        <v>1</v>
      </c>
      <c r="Z22" s="20" t="n">
        <v>0</v>
      </c>
      <c r="AA22" s="20" t="n">
        <v>1</v>
      </c>
      <c r="AB22" s="20" t="n">
        <v>0</v>
      </c>
      <c r="AD22" s="20" t="n">
        <v>0</v>
      </c>
      <c r="AE22" s="20" t="n">
        <v>1</v>
      </c>
      <c r="AF22" s="20" t="n">
        <v>0</v>
      </c>
      <c r="AG22" s="20" t="n">
        <v>0</v>
      </c>
    </row>
    <row r="23">
      <c r="A23" s="7" t="str">
        <f>Secenekler!A23</f>
        <v>titanlar-a</v>
      </c>
      <c r="B23" s="7" t="str">
        <f>Secenekler!C23</f>
        <v>Titan Programı: 10 haftalık canlı kohort</v>
      </c>
      <c r="C23" s="20" t="n">
        <v>1</v>
      </c>
      <c r="D23" s="20" t="n">
        <v>1</v>
      </c>
      <c r="E23" s="20" t="n">
        <v>1</v>
      </c>
      <c r="F23" s="20" t="n">
        <v>1</v>
      </c>
      <c r="G23" s="20" t="n">
        <v>0</v>
      </c>
      <c r="H23" s="20" t="n">
        <v>1</v>
      </c>
      <c r="I23" s="20" t="n">
        <v>0</v>
      </c>
      <c r="J23" s="20" t="n">
        <v>0</v>
      </c>
      <c r="K23" s="20" t="n">
        <v>1</v>
      </c>
      <c r="L23" s="20" t="n">
        <v>0</v>
      </c>
      <c r="M23" s="20" t="n">
        <v>1</v>
      </c>
      <c r="N23" s="20" t="n">
        <v>0</v>
      </c>
      <c r="O23" s="20" t="n">
        <v>0</v>
      </c>
      <c r="P23" s="20" t="n">
        <v>0</v>
      </c>
      <c r="Q23" s="20" t="n">
        <v>0</v>
      </c>
      <c r="R23" s="20" t="n">
        <v>0</v>
      </c>
      <c r="S23" s="20" t="n">
        <v>0</v>
      </c>
      <c r="T23" s="20" t="n">
        <v>0</v>
      </c>
      <c r="U23" s="20" t="n">
        <v>1</v>
      </c>
      <c r="V23" s="20" t="n">
        <v>0</v>
      </c>
      <c r="W23" s="20" t="n">
        <v>0</v>
      </c>
      <c r="X23" s="20" t="n">
        <v>0</v>
      </c>
      <c r="Y23" s="20" t="n">
        <v>1</v>
      </c>
      <c r="Z23" s="20" t="n">
        <v>0</v>
      </c>
      <c r="AA23" s="20" t="n">
        <v>1</v>
      </c>
      <c r="AB23" s="20" t="n">
        <v>0</v>
      </c>
      <c r="AD23" s="20" t="n">
        <v>1</v>
      </c>
      <c r="AE23" s="20" t="n">
        <v>1</v>
      </c>
      <c r="AF23" s="20" t="n">
        <v>0</v>
      </c>
      <c r="AG23" s="20" t="n">
        <v>0</v>
      </c>
    </row>
    <row r="24">
      <c r="A24" s="7" t="str">
        <f>Secenekler!A24</f>
        <v>titanlar-b</v>
      </c>
      <c r="B24" s="7" t="str">
        <f>Secenekler!C24</f>
        <v>Kâr teşhisi: Giriş ve Strateji danışmanlığı</v>
      </c>
      <c r="C24" s="20" t="n">
        <v>1</v>
      </c>
      <c r="D24" s="20" t="n">
        <v>1</v>
      </c>
      <c r="E24" s="20" t="n">
        <v>1</v>
      </c>
      <c r="F24" s="20" t="n">
        <v>1</v>
      </c>
      <c r="G24" s="20" t="n">
        <v>0</v>
      </c>
      <c r="H24" s="20" t="n">
        <v>1</v>
      </c>
      <c r="I24" s="20" t="n">
        <v>0</v>
      </c>
      <c r="J24" s="20" t="n">
        <v>0</v>
      </c>
      <c r="K24" s="20" t="n">
        <v>0</v>
      </c>
      <c r="L24" s="20" t="n">
        <v>0</v>
      </c>
      <c r="M24" s="20" t="n">
        <v>1</v>
      </c>
      <c r="N24" s="20" t="n">
        <v>0</v>
      </c>
      <c r="O24" s="20" t="n">
        <v>0</v>
      </c>
      <c r="P24" s="20" t="n">
        <v>0</v>
      </c>
      <c r="Q24" s="20" t="n">
        <v>0</v>
      </c>
      <c r="R24" s="20" t="n">
        <v>0</v>
      </c>
      <c r="S24" s="20" t="n">
        <v>0</v>
      </c>
      <c r="T24" s="20" t="n">
        <v>0</v>
      </c>
      <c r="U24" s="20" t="n">
        <v>1</v>
      </c>
      <c r="V24" s="20" t="n">
        <v>0</v>
      </c>
      <c r="W24" s="20" t="n">
        <v>0</v>
      </c>
      <c r="X24" s="20" t="n">
        <v>1</v>
      </c>
      <c r="Y24" s="20" t="n">
        <v>1</v>
      </c>
      <c r="Z24" s="20" t="n">
        <v>0</v>
      </c>
      <c r="AA24" s="20" t="n">
        <v>0</v>
      </c>
      <c r="AB24" s="20" t="n">
        <v>0</v>
      </c>
      <c r="AD24" s="20" t="n">
        <v>1</v>
      </c>
      <c r="AE24" s="20" t="n">
        <v>1</v>
      </c>
      <c r="AF24" s="20" t="n">
        <v>0</v>
      </c>
      <c r="AG24" s="20" t="n">
        <v>0</v>
      </c>
    </row>
    <row r="25">
      <c r="A25" s="7" t="str">
        <f>Secenekler!A25</f>
        <v>titanlar-c</v>
      </c>
      <c r="B25" s="7" t="str">
        <f>Secenekler!C25</f>
        <v>Kurumsal atölye: oda, belediye ve üretici KOBİ</v>
      </c>
      <c r="C25" s="20" t="n">
        <v>0</v>
      </c>
      <c r="D25" s="20" t="n">
        <v>0</v>
      </c>
      <c r="E25" s="20" t="n">
        <v>1</v>
      </c>
      <c r="F25" s="20" t="n">
        <v>0</v>
      </c>
      <c r="G25" s="20" t="n">
        <v>0</v>
      </c>
      <c r="H25" s="20" t="n">
        <v>0</v>
      </c>
      <c r="I25" s="20" t="n">
        <v>0</v>
      </c>
      <c r="J25" s="20" t="n">
        <v>0</v>
      </c>
      <c r="K25" s="20" t="n">
        <v>0</v>
      </c>
      <c r="L25" s="20" t="n">
        <v>0</v>
      </c>
      <c r="M25" s="20" t="n">
        <v>1</v>
      </c>
      <c r="N25" s="20" t="n">
        <v>0</v>
      </c>
      <c r="O25" s="20" t="n">
        <v>0</v>
      </c>
      <c r="P25" s="20" t="n">
        <v>0</v>
      </c>
      <c r="Q25" s="20" t="n">
        <v>0</v>
      </c>
      <c r="R25" s="20" t="n">
        <v>0</v>
      </c>
      <c r="S25" s="20" t="n">
        <v>0</v>
      </c>
      <c r="T25" s="20" t="n">
        <v>0</v>
      </c>
      <c r="U25" s="20" t="n">
        <v>1</v>
      </c>
      <c r="V25" s="20" t="n">
        <v>0</v>
      </c>
      <c r="W25" s="20" t="n">
        <v>0</v>
      </c>
      <c r="X25" s="20" t="n">
        <v>0</v>
      </c>
      <c r="Y25" s="20" t="n">
        <v>1</v>
      </c>
      <c r="Z25" s="20" t="n">
        <v>0</v>
      </c>
      <c r="AA25" s="20" t="n">
        <v>0</v>
      </c>
      <c r="AB25" s="20" t="n">
        <v>0</v>
      </c>
      <c r="AD25" s="20" t="n">
        <v>0</v>
      </c>
      <c r="AE25" s="20" t="n">
        <v>1</v>
      </c>
      <c r="AF25" s="20" t="n">
        <v>0</v>
      </c>
      <c r="AG25" s="20" t="n">
        <v>0</v>
      </c>
    </row>
    <row r="26">
      <c r="A26" s="7" t="str">
        <f>Secenekler!A26</f>
        <v>kurumsal-site-a</v>
      </c>
      <c r="B26" s="7" t="str">
        <f>Secenekler!C26</f>
        <v>İhracat paketi: sabit kapsamlı 3 dilli üretici sitesi</v>
      </c>
      <c r="C26" s="20" t="n">
        <v>1</v>
      </c>
      <c r="D26" s="20" t="n">
        <v>0</v>
      </c>
      <c r="E26" s="20" t="n">
        <v>1</v>
      </c>
      <c r="F26" s="20" t="n">
        <v>1</v>
      </c>
      <c r="G26" s="20" t="n">
        <v>0</v>
      </c>
      <c r="H26" s="20" t="n">
        <v>1</v>
      </c>
      <c r="I26" s="20" t="n">
        <v>1</v>
      </c>
      <c r="J26" s="20" t="n">
        <v>0</v>
      </c>
      <c r="K26" s="20" t="n">
        <v>0</v>
      </c>
      <c r="L26" s="20" t="n">
        <v>0</v>
      </c>
      <c r="M26" s="20" t="n">
        <v>1</v>
      </c>
      <c r="N26" s="20" t="n">
        <v>0</v>
      </c>
      <c r="O26" s="20" t="n">
        <v>0</v>
      </c>
      <c r="P26" s="20" t="n">
        <v>1</v>
      </c>
      <c r="Q26" s="20" t="n">
        <v>0</v>
      </c>
      <c r="R26" s="20" t="n">
        <v>0</v>
      </c>
      <c r="S26" s="20" t="n">
        <v>0</v>
      </c>
      <c r="T26" s="20" t="n">
        <v>1</v>
      </c>
      <c r="U26" s="20" t="n">
        <v>1</v>
      </c>
      <c r="V26" s="20" t="n">
        <v>0</v>
      </c>
      <c r="W26" s="20" t="n">
        <v>0</v>
      </c>
      <c r="X26" s="20" t="n">
        <v>2</v>
      </c>
      <c r="Y26" s="20" t="n">
        <v>1</v>
      </c>
      <c r="Z26" s="20" t="n">
        <v>1</v>
      </c>
      <c r="AA26" s="20" t="n">
        <v>0</v>
      </c>
      <c r="AB26" s="20" t="n">
        <v>0</v>
      </c>
      <c r="AD26" s="20" t="n">
        <v>1</v>
      </c>
      <c r="AE26" s="20" t="n">
        <v>0</v>
      </c>
      <c r="AF26" s="20" t="n">
        <v>1</v>
      </c>
      <c r="AG26" s="20" t="n">
        <v>1</v>
      </c>
    </row>
    <row r="27">
      <c r="A27" s="7" t="str">
        <f>Secenekler!A27</f>
        <v>kurumsal-site-b</v>
      </c>
      <c r="B27" s="7" t="str">
        <f>Secenekler!C27</f>
        <v>Vitrin paketi: 2 dilli giriş sitesi (45.000 ₺)</v>
      </c>
      <c r="C27" s="20" t="n">
        <v>1</v>
      </c>
      <c r="D27" s="20" t="n">
        <v>0</v>
      </c>
      <c r="E27" s="20" t="n">
        <v>1</v>
      </c>
      <c r="F27" s="20" t="n">
        <v>1</v>
      </c>
      <c r="G27" s="20" t="n">
        <v>0</v>
      </c>
      <c r="H27" s="20" t="n">
        <v>1</v>
      </c>
      <c r="I27" s="20" t="n">
        <v>0</v>
      </c>
      <c r="J27" s="20" t="n">
        <v>0</v>
      </c>
      <c r="K27" s="20" t="n">
        <v>0</v>
      </c>
      <c r="L27" s="20" t="n">
        <v>0</v>
      </c>
      <c r="M27" s="20" t="n">
        <v>1</v>
      </c>
      <c r="N27" s="20" t="n">
        <v>0</v>
      </c>
      <c r="O27" s="20" t="n">
        <v>0</v>
      </c>
      <c r="P27" s="20" t="n">
        <v>1</v>
      </c>
      <c r="Q27" s="20" t="n">
        <v>0</v>
      </c>
      <c r="R27" s="20" t="n">
        <v>0</v>
      </c>
      <c r="S27" s="20" t="n">
        <v>0</v>
      </c>
      <c r="T27" s="20" t="n">
        <v>1</v>
      </c>
      <c r="U27" s="20" t="n">
        <v>1</v>
      </c>
      <c r="V27" s="20" t="n">
        <v>0</v>
      </c>
      <c r="W27" s="20" t="n">
        <v>0</v>
      </c>
      <c r="X27" s="20" t="n">
        <v>2</v>
      </c>
      <c r="Y27" s="20" t="n">
        <v>1</v>
      </c>
      <c r="Z27" s="20" t="n">
        <v>1</v>
      </c>
      <c r="AA27" s="20" t="n">
        <v>0</v>
      </c>
      <c r="AB27" s="20" t="n">
        <v>0</v>
      </c>
      <c r="AD27" s="20" t="n">
        <v>1</v>
      </c>
      <c r="AE27" s="20" t="n">
        <v>1</v>
      </c>
      <c r="AF27" s="20" t="n">
        <v>1</v>
      </c>
      <c r="AG27" s="20" t="n">
        <v>1</v>
      </c>
    </row>
    <row r="28">
      <c r="A28" s="7" t="str">
        <f>Secenekler!A28</f>
        <v>kurumsal-site-c</v>
      </c>
      <c r="B28" s="7" t="str">
        <f>Secenekler!C28</f>
        <v>Markasız Astro sanayi teması (kod satışı)</v>
      </c>
      <c r="C28" s="20" t="n">
        <v>0</v>
      </c>
      <c r="D28" s="20" t="n">
        <v>0</v>
      </c>
      <c r="E28" s="20" t="n">
        <v>0</v>
      </c>
      <c r="F28" s="20" t="n">
        <v>1</v>
      </c>
      <c r="G28" s="20" t="n">
        <v>0</v>
      </c>
      <c r="H28" s="20" t="n">
        <v>0</v>
      </c>
      <c r="I28" s="20" t="n">
        <v>0</v>
      </c>
      <c r="J28" s="20" t="n">
        <v>0</v>
      </c>
      <c r="K28" s="20" t="n">
        <v>0</v>
      </c>
      <c r="L28" s="20" t="n">
        <v>0</v>
      </c>
      <c r="M28" s="20" t="n">
        <v>0</v>
      </c>
      <c r="N28" s="20" t="n">
        <v>0</v>
      </c>
      <c r="O28" s="20" t="n">
        <v>0</v>
      </c>
      <c r="P28" s="20" t="n">
        <v>1</v>
      </c>
      <c r="Q28" s="20" t="n">
        <v>0</v>
      </c>
      <c r="R28" s="20" t="n">
        <v>0</v>
      </c>
      <c r="S28" s="20" t="n">
        <v>0</v>
      </c>
      <c r="T28" s="20" t="n">
        <v>0</v>
      </c>
      <c r="U28" s="20" t="n">
        <v>1</v>
      </c>
      <c r="V28" s="20" t="n">
        <v>0</v>
      </c>
      <c r="W28" s="20" t="n">
        <v>0</v>
      </c>
      <c r="X28" s="20" t="n">
        <v>1</v>
      </c>
      <c r="Y28" s="20" t="n">
        <v>0</v>
      </c>
      <c r="Z28" s="20" t="n">
        <v>0</v>
      </c>
      <c r="AA28" s="20" t="n">
        <v>0</v>
      </c>
      <c r="AB28" s="20" t="n">
        <v>0</v>
      </c>
      <c r="AD28" s="20" t="n">
        <v>0</v>
      </c>
      <c r="AE28" s="20" t="n">
        <v>0</v>
      </c>
      <c r="AF28" s="20" t="n">
        <v>0</v>
      </c>
      <c r="AG28" s="20" t="n">
        <v>0</v>
      </c>
    </row>
    <row r="29">
      <c r="A29" s="7" t="str">
        <f>Secenekler!A29</f>
        <v>uretici-kobi-paketi-a</v>
      </c>
      <c r="B29" s="7" t="str">
        <f>Secenekler!C29</f>
        <v>Başlangıç paketi: fizibilite, vitrin site, açılış planı</v>
      </c>
      <c r="C29" s="20" t="n">
        <v>1</v>
      </c>
      <c r="D29" s="20" t="n">
        <v>1</v>
      </c>
      <c r="E29" s="20" t="n">
        <v>0</v>
      </c>
      <c r="F29" s="20" t="n">
        <v>1</v>
      </c>
      <c r="G29" s="20" t="n">
        <v>0</v>
      </c>
      <c r="H29" s="20" t="n">
        <v>1</v>
      </c>
      <c r="I29" s="20" t="n">
        <v>1</v>
      </c>
      <c r="J29" s="20" t="n">
        <v>0</v>
      </c>
      <c r="K29" s="20" t="n">
        <v>0</v>
      </c>
      <c r="L29" s="20" t="n">
        <v>0</v>
      </c>
      <c r="M29" s="20" t="n">
        <v>1</v>
      </c>
      <c r="N29" s="20" t="n">
        <v>0</v>
      </c>
      <c r="O29" s="20" t="n">
        <v>0</v>
      </c>
      <c r="P29" s="20" t="n">
        <v>1</v>
      </c>
      <c r="Q29" s="20" t="n">
        <v>0</v>
      </c>
      <c r="R29" s="20" t="n">
        <v>0</v>
      </c>
      <c r="S29" s="20" t="n">
        <v>0</v>
      </c>
      <c r="T29" s="20" t="n">
        <v>1</v>
      </c>
      <c r="U29" s="20" t="n">
        <v>0</v>
      </c>
      <c r="V29" s="20" t="n">
        <v>0</v>
      </c>
      <c r="W29" s="20" t="n">
        <v>0</v>
      </c>
      <c r="X29" s="20" t="n">
        <v>2</v>
      </c>
      <c r="Y29" s="20" t="n">
        <v>0</v>
      </c>
      <c r="Z29" s="20" t="n">
        <v>1</v>
      </c>
      <c r="AA29" s="20" t="n">
        <v>0</v>
      </c>
      <c r="AB29" s="20" t="n">
        <v>0</v>
      </c>
      <c r="AD29" s="20" t="n">
        <v>1</v>
      </c>
      <c r="AE29" s="20" t="n">
        <v>0</v>
      </c>
      <c r="AF29" s="20" t="n">
        <v>0</v>
      </c>
      <c r="AG29" s="20" t="n">
        <v>1</v>
      </c>
    </row>
    <row r="30">
      <c r="A30" s="7" t="str">
        <f>Secenekler!A30</f>
        <v>uretici-kobi-paketi-b</v>
      </c>
      <c r="B30" s="7" t="str">
        <f>Secenekler!C30</f>
        <v>Fizibilite paketi: rakip analizi, kârlılık modeli, simülatör</v>
      </c>
      <c r="C30" s="20" t="n">
        <v>1</v>
      </c>
      <c r="D30" s="20" t="n">
        <v>1</v>
      </c>
      <c r="E30" s="20" t="n">
        <v>0</v>
      </c>
      <c r="F30" s="20" t="n">
        <v>1</v>
      </c>
      <c r="G30" s="20" t="n">
        <v>0</v>
      </c>
      <c r="H30" s="20" t="n">
        <v>1</v>
      </c>
      <c r="I30" s="20" t="n">
        <v>1</v>
      </c>
      <c r="J30" s="20" t="n">
        <v>0</v>
      </c>
      <c r="K30" s="20" t="n">
        <v>0</v>
      </c>
      <c r="L30" s="20" t="n">
        <v>0</v>
      </c>
      <c r="M30" s="20" t="n">
        <v>1</v>
      </c>
      <c r="N30" s="20" t="n">
        <v>0</v>
      </c>
      <c r="O30" s="20" t="n">
        <v>0</v>
      </c>
      <c r="P30" s="20" t="n">
        <v>1</v>
      </c>
      <c r="Q30" s="20" t="n">
        <v>0</v>
      </c>
      <c r="R30" s="20" t="n">
        <v>0</v>
      </c>
      <c r="S30" s="20" t="n">
        <v>0</v>
      </c>
      <c r="T30" s="20" t="n">
        <v>1</v>
      </c>
      <c r="U30" s="20" t="n">
        <v>0</v>
      </c>
      <c r="V30" s="20" t="n">
        <v>0</v>
      </c>
      <c r="W30" s="20" t="n">
        <v>0</v>
      </c>
      <c r="X30" s="20" t="n">
        <v>2</v>
      </c>
      <c r="Y30" s="20" t="n">
        <v>1</v>
      </c>
      <c r="Z30" s="20" t="n">
        <v>1</v>
      </c>
      <c r="AA30" s="20" t="n">
        <v>0</v>
      </c>
      <c r="AB30" s="20" t="n">
        <v>0</v>
      </c>
      <c r="AD30" s="20" t="n">
        <v>1</v>
      </c>
      <c r="AE30" s="20" t="n">
        <v>0</v>
      </c>
      <c r="AF30" s="20" t="n">
        <v>0</v>
      </c>
      <c r="AG30" s="20" t="n">
        <v>1</v>
      </c>
    </row>
    <row r="31">
      <c r="A31" s="7" t="str">
        <f>Secenekler!A31</f>
        <v>uretici-kobi-paketi-c</v>
      </c>
      <c r="B31" s="7" t="str">
        <f>Secenekler!C31</f>
        <v>Katalog ve teklif formu sitesi (kumaş üreticisi)</v>
      </c>
      <c r="C31" s="20" t="n">
        <v>1</v>
      </c>
      <c r="D31" s="20" t="n">
        <v>0</v>
      </c>
      <c r="E31" s="20" t="n">
        <v>0</v>
      </c>
      <c r="F31" s="20" t="n">
        <v>1</v>
      </c>
      <c r="G31" s="20" t="n">
        <v>0</v>
      </c>
      <c r="H31" s="20" t="n">
        <v>1</v>
      </c>
      <c r="I31" s="20" t="n">
        <v>1</v>
      </c>
      <c r="J31" s="20" t="n">
        <v>0</v>
      </c>
      <c r="K31" s="20" t="n">
        <v>0</v>
      </c>
      <c r="L31" s="20" t="n">
        <v>0</v>
      </c>
      <c r="M31" s="20" t="n">
        <v>1</v>
      </c>
      <c r="N31" s="20" t="n">
        <v>0</v>
      </c>
      <c r="O31" s="20" t="n">
        <v>0</v>
      </c>
      <c r="P31" s="20" t="n">
        <v>1</v>
      </c>
      <c r="Q31" s="20" t="n">
        <v>0</v>
      </c>
      <c r="R31" s="20" t="n">
        <v>0</v>
      </c>
      <c r="S31" s="20" t="n">
        <v>0</v>
      </c>
      <c r="T31" s="20" t="n">
        <v>0</v>
      </c>
      <c r="U31" s="20" t="n">
        <v>0</v>
      </c>
      <c r="V31" s="20" t="n">
        <v>0</v>
      </c>
      <c r="W31" s="20" t="n">
        <v>0</v>
      </c>
      <c r="X31" s="20" t="n">
        <v>2</v>
      </c>
      <c r="Y31" s="20" t="n">
        <v>0</v>
      </c>
      <c r="Z31" s="20" t="n">
        <v>0</v>
      </c>
      <c r="AA31" s="20" t="n">
        <v>0</v>
      </c>
      <c r="AB31" s="20" t="n">
        <v>0</v>
      </c>
      <c r="AD31" s="20" t="n">
        <v>1</v>
      </c>
      <c r="AE31" s="20" t="n">
        <v>0</v>
      </c>
      <c r="AF31" s="20" t="n">
        <v>0</v>
      </c>
      <c r="AG31" s="20" t="n">
        <v>1</v>
      </c>
    </row>
    <row r="32">
      <c r="A32" s="7" t="str">
        <f>Secenekler!A32</f>
        <v>wp-nis-eklentiler-a</v>
      </c>
      <c r="B32" s="7" t="str">
        <f>Secenekler!C32</f>
        <v>KVKK Lite Pro: ajans lisansı</v>
      </c>
      <c r="C32" s="20" t="n">
        <v>1</v>
      </c>
      <c r="D32" s="20" t="n">
        <v>1</v>
      </c>
      <c r="E32" s="20" t="n">
        <v>1</v>
      </c>
      <c r="F32" s="20" t="n">
        <v>1</v>
      </c>
      <c r="G32" s="20" t="n">
        <v>0</v>
      </c>
      <c r="H32" s="20" t="n">
        <v>1</v>
      </c>
      <c r="I32" s="20" t="n">
        <v>0</v>
      </c>
      <c r="J32" s="20" t="n">
        <v>1</v>
      </c>
      <c r="K32" s="20" t="n">
        <v>0</v>
      </c>
      <c r="L32" s="20" t="n">
        <v>0</v>
      </c>
      <c r="M32" s="20" t="n">
        <v>1</v>
      </c>
      <c r="N32" s="20" t="n">
        <v>0</v>
      </c>
      <c r="O32" s="20" t="n">
        <v>0</v>
      </c>
      <c r="P32" s="20" t="n">
        <v>0</v>
      </c>
      <c r="Q32" s="20" t="n">
        <v>0</v>
      </c>
      <c r="R32" s="20" t="n">
        <v>0</v>
      </c>
      <c r="S32" s="20" t="n">
        <v>0</v>
      </c>
      <c r="T32" s="20" t="n">
        <v>0</v>
      </c>
      <c r="U32" s="20" t="n">
        <v>0</v>
      </c>
      <c r="V32" s="20" t="n">
        <v>1</v>
      </c>
      <c r="W32" s="20" t="n">
        <v>0</v>
      </c>
      <c r="X32" s="20" t="n">
        <v>1</v>
      </c>
      <c r="Y32" s="20" t="n">
        <v>1</v>
      </c>
      <c r="Z32" s="20" t="n">
        <v>0</v>
      </c>
      <c r="AA32" s="20" t="n">
        <v>1</v>
      </c>
      <c r="AB32" s="20" t="n">
        <v>0</v>
      </c>
      <c r="AD32" s="20" t="n">
        <v>1</v>
      </c>
      <c r="AE32" s="20" t="n">
        <v>1</v>
      </c>
      <c r="AF32" s="20" t="n">
        <v>0</v>
      </c>
      <c r="AG32" s="20" t="n">
        <v>0</v>
      </c>
    </row>
    <row r="33">
      <c r="A33" s="7" t="str">
        <f>Secenekler!A33</f>
        <v>wp-nis-eklentiler-b</v>
      </c>
      <c r="B33" s="7" t="str">
        <f>Secenekler!C33</f>
        <v>Taksit Tablosu ve Kapıda Ödeme Pro: tek mağaza</v>
      </c>
      <c r="C33" s="20" t="n">
        <v>0</v>
      </c>
      <c r="D33" s="20" t="n">
        <v>0</v>
      </c>
      <c r="E33" s="20" t="n">
        <v>1</v>
      </c>
      <c r="F33" s="20" t="n">
        <v>1</v>
      </c>
      <c r="G33" s="20" t="n">
        <v>0</v>
      </c>
      <c r="H33" s="20" t="n">
        <v>0</v>
      </c>
      <c r="I33" s="20" t="n">
        <v>0</v>
      </c>
      <c r="J33" s="20" t="n">
        <v>1</v>
      </c>
      <c r="K33" s="20" t="n">
        <v>0</v>
      </c>
      <c r="L33" s="20" t="n">
        <v>0</v>
      </c>
      <c r="M33" s="20" t="n">
        <v>0</v>
      </c>
      <c r="N33" s="20" t="n">
        <v>0</v>
      </c>
      <c r="O33" s="20" t="n">
        <v>0</v>
      </c>
      <c r="P33" s="20" t="n">
        <v>0</v>
      </c>
      <c r="Q33" s="20" t="n">
        <v>0</v>
      </c>
      <c r="R33" s="20" t="n">
        <v>0</v>
      </c>
      <c r="S33" s="20" t="n">
        <v>0</v>
      </c>
      <c r="T33" s="20" t="n">
        <v>0</v>
      </c>
      <c r="U33" s="20" t="n">
        <v>0</v>
      </c>
      <c r="V33" s="20" t="n">
        <v>0</v>
      </c>
      <c r="W33" s="20" t="n">
        <v>0</v>
      </c>
      <c r="X33" s="20" t="n">
        <v>1</v>
      </c>
      <c r="Y33" s="20" t="n">
        <v>1</v>
      </c>
      <c r="Z33" s="20" t="n">
        <v>0</v>
      </c>
      <c r="AA33" s="20" t="n">
        <v>0</v>
      </c>
      <c r="AB33" s="20" t="n">
        <v>0</v>
      </c>
      <c r="AD33" s="20" t="n">
        <v>1</v>
      </c>
      <c r="AE33" s="20" t="n">
        <v>1</v>
      </c>
      <c r="AF33" s="20" t="n">
        <v>0</v>
      </c>
      <c r="AG33" s="20" t="n">
        <v>0</v>
      </c>
    </row>
    <row r="34">
      <c r="A34" s="7" t="str">
        <f>Secenekler!A34</f>
        <v>wp-nis-eklentiler-c</v>
      </c>
      <c r="B34" s="7" t="str">
        <f>Secenekler!C34</f>
        <v>Türkiye uyum kurulumu: sabit fiyatlı hizmet</v>
      </c>
      <c r="C34" s="20" t="n">
        <v>1</v>
      </c>
      <c r="D34" s="20" t="n">
        <v>1</v>
      </c>
      <c r="E34" s="20" t="n">
        <v>0</v>
      </c>
      <c r="F34" s="20" t="n">
        <v>1</v>
      </c>
      <c r="G34" s="20" t="n">
        <v>0</v>
      </c>
      <c r="H34" s="20" t="n">
        <v>0</v>
      </c>
      <c r="I34" s="20" t="n">
        <v>0</v>
      </c>
      <c r="J34" s="20" t="n">
        <v>1</v>
      </c>
      <c r="K34" s="20" t="n">
        <v>0</v>
      </c>
      <c r="L34" s="20" t="n">
        <v>0</v>
      </c>
      <c r="M34" s="20" t="n">
        <v>1</v>
      </c>
      <c r="N34" s="20" t="n">
        <v>0</v>
      </c>
      <c r="O34" s="20" t="n">
        <v>0</v>
      </c>
      <c r="P34" s="20" t="n">
        <v>0</v>
      </c>
      <c r="Q34" s="20" t="n">
        <v>0</v>
      </c>
      <c r="R34" s="20" t="n">
        <v>0</v>
      </c>
      <c r="S34" s="20" t="n">
        <v>0</v>
      </c>
      <c r="T34" s="20" t="n">
        <v>0</v>
      </c>
      <c r="U34" s="20" t="n">
        <v>0</v>
      </c>
      <c r="V34" s="20" t="n">
        <v>0</v>
      </c>
      <c r="W34" s="20" t="n">
        <v>0</v>
      </c>
      <c r="X34" s="20" t="n">
        <v>1</v>
      </c>
      <c r="Y34" s="20" t="n">
        <v>1</v>
      </c>
      <c r="Z34" s="20" t="n">
        <v>0</v>
      </c>
      <c r="AA34" s="20" t="n">
        <v>1</v>
      </c>
      <c r="AB34" s="20" t="n">
        <v>0</v>
      </c>
      <c r="AD34" s="20" t="n">
        <v>1</v>
      </c>
      <c r="AE34" s="20" t="n">
        <v>0</v>
      </c>
      <c r="AF34" s="20" t="n">
        <v>0</v>
      </c>
      <c r="AG34" s="20" t="n">
        <v>0</v>
      </c>
    </row>
    <row r="35">
      <c r="A35" s="7" t="str">
        <f>Secenekler!A35</f>
        <v>qral-a</v>
      </c>
      <c r="B35" s="7" t="str">
        <f>Secenekler!C35</f>
        <v>Pro lisansı: bilgi çalışanı ve yapay zekâ kullanıcısı</v>
      </c>
      <c r="C35" s="20" t="n">
        <v>1</v>
      </c>
      <c r="D35" s="20" t="n">
        <v>0</v>
      </c>
      <c r="E35" s="20" t="n">
        <v>1</v>
      </c>
      <c r="F35" s="20" t="n">
        <v>1</v>
      </c>
      <c r="G35" s="20" t="n">
        <v>0</v>
      </c>
      <c r="H35" s="20" t="n">
        <v>1</v>
      </c>
      <c r="I35" s="20" t="n">
        <v>0</v>
      </c>
      <c r="J35" s="20" t="n">
        <v>1</v>
      </c>
      <c r="K35" s="20" t="n">
        <v>1</v>
      </c>
      <c r="L35" s="20" t="n">
        <v>0</v>
      </c>
      <c r="M35" s="20" t="n">
        <v>1</v>
      </c>
      <c r="N35" s="20" t="n">
        <v>0</v>
      </c>
      <c r="O35" s="20" t="n">
        <v>0</v>
      </c>
      <c r="P35" s="20" t="n">
        <v>0</v>
      </c>
      <c r="Q35" s="20" t="n">
        <v>0</v>
      </c>
      <c r="R35" s="20" t="n">
        <v>1</v>
      </c>
      <c r="S35" s="20" t="n">
        <v>0</v>
      </c>
      <c r="T35" s="20" t="n">
        <v>1</v>
      </c>
      <c r="U35" s="20" t="n">
        <v>0</v>
      </c>
      <c r="V35" s="20" t="n">
        <v>0</v>
      </c>
      <c r="W35" s="20" t="n">
        <v>0</v>
      </c>
      <c r="X35" s="20" t="n">
        <v>0</v>
      </c>
      <c r="Y35" s="20" t="n">
        <v>1</v>
      </c>
      <c r="Z35" s="20" t="n">
        <v>0</v>
      </c>
      <c r="AA35" s="20" t="n">
        <v>1</v>
      </c>
      <c r="AB35" s="20" t="n">
        <v>0</v>
      </c>
      <c r="AD35" s="20" t="n">
        <v>1</v>
      </c>
      <c r="AE35" s="20" t="n">
        <v>1</v>
      </c>
      <c r="AF35" s="20" t="n">
        <v>0</v>
      </c>
      <c r="AG35" s="20" t="n">
        <v>0</v>
      </c>
    </row>
    <row r="36">
      <c r="A36" s="7" t="str">
        <f>Secenekler!A36</f>
        <v>qral-b</v>
      </c>
      <c r="B36" s="7" t="str">
        <f>Secenekler!C36</f>
        <v>Sınıf Paketi: öğretmen ve okul için QR sayfası</v>
      </c>
      <c r="C36" s="20" t="n">
        <v>0</v>
      </c>
      <c r="D36" s="20" t="n">
        <v>0</v>
      </c>
      <c r="E36" s="20" t="n">
        <v>0</v>
      </c>
      <c r="F36" s="20" t="n">
        <v>1</v>
      </c>
      <c r="G36" s="20" t="n">
        <v>0</v>
      </c>
      <c r="H36" s="20" t="n">
        <v>0</v>
      </c>
      <c r="I36" s="20" t="n">
        <v>0</v>
      </c>
      <c r="J36" s="20" t="n">
        <v>0</v>
      </c>
      <c r="K36" s="20" t="n">
        <v>0</v>
      </c>
      <c r="L36" s="20" t="n">
        <v>0</v>
      </c>
      <c r="M36" s="20" t="n">
        <v>1</v>
      </c>
      <c r="N36" s="20" t="n">
        <v>0</v>
      </c>
      <c r="O36" s="20" t="n">
        <v>0</v>
      </c>
      <c r="P36" s="20" t="n">
        <v>0</v>
      </c>
      <c r="Q36" s="20" t="n">
        <v>0</v>
      </c>
      <c r="R36" s="20" t="n">
        <v>0</v>
      </c>
      <c r="S36" s="20" t="n">
        <v>0</v>
      </c>
      <c r="T36" s="20" t="n">
        <v>1</v>
      </c>
      <c r="U36" s="20" t="n">
        <v>0</v>
      </c>
      <c r="V36" s="20" t="n">
        <v>0</v>
      </c>
      <c r="W36" s="20" t="n">
        <v>0</v>
      </c>
      <c r="X36" s="20" t="n">
        <v>0</v>
      </c>
      <c r="Y36" s="20" t="n">
        <v>1</v>
      </c>
      <c r="Z36" s="20" t="n">
        <v>0</v>
      </c>
      <c r="AA36" s="20" t="n">
        <v>0</v>
      </c>
      <c r="AB36" s="20" t="n">
        <v>0</v>
      </c>
      <c r="AD36" s="20" t="n">
        <v>1</v>
      </c>
      <c r="AE36" s="20" t="n">
        <v>1</v>
      </c>
      <c r="AF36" s="20" t="n">
        <v>0</v>
      </c>
      <c r="AG36" s="20" t="n">
        <v>0</v>
      </c>
    </row>
    <row r="37">
      <c r="A37" s="7" t="str">
        <f>Secenekler!A37</f>
        <v>qral-c</v>
      </c>
      <c r="B37" s="7" t="str">
        <f>Secenekler!C37</f>
        <v>Araştırma ekibi için kaynak dışa aktarma şablon paketi</v>
      </c>
      <c r="C37" s="20" t="n">
        <v>0</v>
      </c>
      <c r="D37" s="20" t="n">
        <v>0</v>
      </c>
      <c r="E37" s="20" t="n">
        <v>0</v>
      </c>
      <c r="F37" s="20" t="n">
        <v>1</v>
      </c>
      <c r="G37" s="20" t="n">
        <v>0</v>
      </c>
      <c r="H37" s="20" t="n">
        <v>0</v>
      </c>
      <c r="I37" s="20" t="n">
        <v>0</v>
      </c>
      <c r="J37" s="20" t="n">
        <v>0</v>
      </c>
      <c r="K37" s="20" t="n">
        <v>0</v>
      </c>
      <c r="L37" s="20" t="n">
        <v>0</v>
      </c>
      <c r="M37" s="20" t="n">
        <v>0</v>
      </c>
      <c r="N37" s="20" t="n">
        <v>0</v>
      </c>
      <c r="O37" s="20" t="n">
        <v>0</v>
      </c>
      <c r="P37" s="20" t="n">
        <v>0</v>
      </c>
      <c r="Q37" s="20" t="n">
        <v>0</v>
      </c>
      <c r="R37" s="20" t="n">
        <v>0</v>
      </c>
      <c r="S37" s="20" t="n">
        <v>0</v>
      </c>
      <c r="T37" s="20" t="n">
        <v>0</v>
      </c>
      <c r="U37" s="20" t="n">
        <v>0</v>
      </c>
      <c r="V37" s="20" t="n">
        <v>0</v>
      </c>
      <c r="W37" s="20" t="n">
        <v>0</v>
      </c>
      <c r="X37" s="20" t="n">
        <v>0</v>
      </c>
      <c r="Y37" s="20" t="n">
        <v>1</v>
      </c>
      <c r="Z37" s="20" t="n">
        <v>0</v>
      </c>
      <c r="AA37" s="20" t="n">
        <v>0</v>
      </c>
      <c r="AB37" s="20" t="n">
        <v>0</v>
      </c>
      <c r="AD37" s="20" t="n">
        <v>0</v>
      </c>
      <c r="AE37" s="20" t="n">
        <v>0</v>
      </c>
      <c r="AF37" s="20" t="n">
        <v>0</v>
      </c>
      <c r="AG37" s="20" t="n">
        <v>0</v>
      </c>
    </row>
    <row r="38">
      <c r="A38" s="7" t="str">
        <f>Secenekler!A38</f>
        <v>frontend-atlasi-a</v>
      </c>
      <c r="B38" s="7" t="str">
        <f>Secenekler!C38</f>
        <v>Eğitmen lisansı ve AI ile Eğitim Sitesi Kiti</v>
      </c>
      <c r="C38" s="20" t="n">
        <v>0</v>
      </c>
      <c r="D38" s="20" t="n">
        <v>0</v>
      </c>
      <c r="E38" s="20" t="n">
        <v>0</v>
      </c>
      <c r="F38" s="20" t="n">
        <v>1</v>
      </c>
      <c r="G38" s="20" t="n">
        <v>0</v>
      </c>
      <c r="H38" s="20" t="n">
        <v>1</v>
      </c>
      <c r="I38" s="20" t="n">
        <v>0</v>
      </c>
      <c r="J38" s="20" t="n">
        <v>1</v>
      </c>
      <c r="K38" s="20" t="n">
        <v>0</v>
      </c>
      <c r="L38" s="20" t="n">
        <v>0</v>
      </c>
      <c r="M38" s="20" t="n">
        <v>1</v>
      </c>
      <c r="N38" s="20" t="n">
        <v>0</v>
      </c>
      <c r="O38" s="20" t="n">
        <v>0</v>
      </c>
      <c r="P38" s="20" t="n">
        <v>0</v>
      </c>
      <c r="Q38" s="20" t="n">
        <v>0</v>
      </c>
      <c r="R38" s="20" t="n">
        <v>0</v>
      </c>
      <c r="S38" s="20" t="n">
        <v>0</v>
      </c>
      <c r="T38" s="20" t="n">
        <v>0</v>
      </c>
      <c r="U38" s="20" t="n">
        <v>1</v>
      </c>
      <c r="V38" s="20" t="n">
        <v>0</v>
      </c>
      <c r="W38" s="20" t="n">
        <v>0</v>
      </c>
      <c r="X38" s="20" t="n">
        <v>1</v>
      </c>
      <c r="Y38" s="20" t="n">
        <v>1</v>
      </c>
      <c r="Z38" s="20" t="n">
        <v>0</v>
      </c>
      <c r="AA38" s="20" t="n">
        <v>0</v>
      </c>
      <c r="AB38" s="20" t="n">
        <v>0</v>
      </c>
      <c r="AD38" s="20" t="n">
        <v>1</v>
      </c>
      <c r="AE38" s="20" t="n">
        <v>1</v>
      </c>
      <c r="AF38" s="20" t="n">
        <v>0</v>
      </c>
      <c r="AG38" s="20" t="n">
        <v>1</v>
      </c>
    </row>
    <row r="39">
      <c r="A39" s="7" t="str">
        <f>Secenekler!A39</f>
        <v>frontend-atlasi-b</v>
      </c>
      <c r="B39" s="7" t="str">
        <f>Secenekler!C39</f>
        <v>Laboratuvar alıştırma paketi (öğrenenlere, arama ile)</v>
      </c>
      <c r="C39" s="20" t="n">
        <v>1</v>
      </c>
      <c r="D39" s="20" t="n">
        <v>0</v>
      </c>
      <c r="E39" s="20" t="n">
        <v>1</v>
      </c>
      <c r="F39" s="20" t="n">
        <v>1</v>
      </c>
      <c r="G39" s="20" t="n">
        <v>0</v>
      </c>
      <c r="H39" s="20" t="n">
        <v>1</v>
      </c>
      <c r="I39" s="20" t="n">
        <v>0</v>
      </c>
      <c r="J39" s="20" t="n">
        <v>0</v>
      </c>
      <c r="K39" s="20" t="n">
        <v>0</v>
      </c>
      <c r="L39" s="20" t="n">
        <v>0</v>
      </c>
      <c r="M39" s="20" t="n">
        <v>1</v>
      </c>
      <c r="N39" s="20" t="n">
        <v>0</v>
      </c>
      <c r="O39" s="20" t="n">
        <v>0</v>
      </c>
      <c r="P39" s="20" t="n">
        <v>0</v>
      </c>
      <c r="Q39" s="20" t="n">
        <v>0</v>
      </c>
      <c r="R39" s="20" t="n">
        <v>0</v>
      </c>
      <c r="S39" s="20" t="n">
        <v>0</v>
      </c>
      <c r="T39" s="20" t="n">
        <v>0</v>
      </c>
      <c r="U39" s="20" t="n">
        <v>1</v>
      </c>
      <c r="V39" s="20" t="n">
        <v>0</v>
      </c>
      <c r="W39" s="20" t="n">
        <v>0</v>
      </c>
      <c r="X39" s="20" t="n">
        <v>1</v>
      </c>
      <c r="Y39" s="20" t="n">
        <v>1</v>
      </c>
      <c r="Z39" s="20" t="n">
        <v>0</v>
      </c>
      <c r="AA39" s="20" t="n">
        <v>0</v>
      </c>
      <c r="AB39" s="20" t="n">
        <v>0</v>
      </c>
      <c r="AD39" s="20" t="n">
        <v>1</v>
      </c>
      <c r="AE39" s="20" t="n">
        <v>1</v>
      </c>
      <c r="AF39" s="20" t="n">
        <v>0</v>
      </c>
      <c r="AG39" s="20" t="n">
        <v>0</v>
      </c>
    </row>
    <row r="40">
      <c r="A40" s="7" t="str">
        <f>Secenekler!A40</f>
        <v>frontend-atlasi-c</v>
      </c>
      <c r="B40" s="7" t="str">
        <f>Secenekler!C40</f>
        <v>Eğitmene sabit kapsamlı ders ve laboratuvar üretimi</v>
      </c>
      <c r="C40" s="20" t="n">
        <v>0</v>
      </c>
      <c r="D40" s="20" t="n">
        <v>0</v>
      </c>
      <c r="E40" s="20" t="n">
        <v>0</v>
      </c>
      <c r="F40" s="20" t="n">
        <v>1</v>
      </c>
      <c r="G40" s="20" t="n">
        <v>0</v>
      </c>
      <c r="H40" s="20" t="n">
        <v>0</v>
      </c>
      <c r="I40" s="20" t="n">
        <v>0</v>
      </c>
      <c r="J40" s="20" t="n">
        <v>0</v>
      </c>
      <c r="K40" s="20" t="n">
        <v>0</v>
      </c>
      <c r="L40" s="20" t="n">
        <v>0</v>
      </c>
      <c r="M40" s="20" t="n">
        <v>1</v>
      </c>
      <c r="N40" s="20" t="n">
        <v>0</v>
      </c>
      <c r="O40" s="20" t="n">
        <v>0</v>
      </c>
      <c r="P40" s="20" t="n">
        <v>0</v>
      </c>
      <c r="Q40" s="20" t="n">
        <v>0</v>
      </c>
      <c r="R40" s="20" t="n">
        <v>0</v>
      </c>
      <c r="S40" s="20" t="n">
        <v>0</v>
      </c>
      <c r="T40" s="20" t="n">
        <v>0</v>
      </c>
      <c r="U40" s="20" t="n">
        <v>1</v>
      </c>
      <c r="V40" s="20" t="n">
        <v>0</v>
      </c>
      <c r="W40" s="20" t="n">
        <v>0</v>
      </c>
      <c r="X40" s="20" t="n">
        <v>1</v>
      </c>
      <c r="Y40" s="20" t="n">
        <v>0</v>
      </c>
      <c r="Z40" s="20" t="n">
        <v>0</v>
      </c>
      <c r="AA40" s="20" t="n">
        <v>0</v>
      </c>
      <c r="AB40" s="20" t="n">
        <v>0</v>
      </c>
      <c r="AD40" s="20" t="n">
        <v>1</v>
      </c>
      <c r="AE40" s="20" t="n">
        <v>0</v>
      </c>
      <c r="AF40" s="20" t="n">
        <v>0</v>
      </c>
      <c r="AG40" s="20" t="n">
        <v>0</v>
      </c>
    </row>
    <row r="41">
      <c r="A41" s="7" t="str">
        <f>Secenekler!A41</f>
        <v>karar-kitabi-a</v>
      </c>
      <c r="B41" s="7" t="str">
        <f>Secenekler!C41</f>
        <v>Yarım günlük kurumsal karar atölyesi</v>
      </c>
      <c r="C41" s="20" t="n">
        <v>0</v>
      </c>
      <c r="D41" s="20" t="n">
        <v>0</v>
      </c>
      <c r="E41" s="20" t="n">
        <v>1</v>
      </c>
      <c r="F41" s="20" t="n">
        <v>1</v>
      </c>
      <c r="G41" s="20" t="n">
        <v>0</v>
      </c>
      <c r="H41" s="20" t="n">
        <v>1</v>
      </c>
      <c r="I41" s="20" t="n">
        <v>1</v>
      </c>
      <c r="J41" s="20" t="n">
        <v>1</v>
      </c>
      <c r="K41" s="20" t="n">
        <v>0</v>
      </c>
      <c r="L41" s="20" t="n">
        <v>0</v>
      </c>
      <c r="M41" s="20" t="n">
        <v>1</v>
      </c>
      <c r="N41" s="20" t="n">
        <v>0</v>
      </c>
      <c r="O41" s="20" t="n">
        <v>0</v>
      </c>
      <c r="P41" s="20" t="n">
        <v>0</v>
      </c>
      <c r="Q41" s="20" t="n">
        <v>0</v>
      </c>
      <c r="R41" s="20" t="n">
        <v>0</v>
      </c>
      <c r="S41" s="20" t="n">
        <v>0</v>
      </c>
      <c r="T41" s="20" t="n">
        <v>0</v>
      </c>
      <c r="U41" s="20" t="n">
        <v>0</v>
      </c>
      <c r="V41" s="20" t="n">
        <v>0</v>
      </c>
      <c r="W41" s="20" t="n">
        <v>0</v>
      </c>
      <c r="X41" s="20" t="n">
        <v>0</v>
      </c>
      <c r="Y41" s="20" t="n">
        <v>0</v>
      </c>
      <c r="Z41" s="20" t="n">
        <v>0</v>
      </c>
      <c r="AA41" s="20" t="n">
        <v>0</v>
      </c>
      <c r="AB41" s="20" t="n">
        <v>0</v>
      </c>
      <c r="AD41" s="20" t="n">
        <v>0</v>
      </c>
      <c r="AE41" s="20" t="n">
        <v>0</v>
      </c>
      <c r="AF41" s="20" t="n">
        <v>0</v>
      </c>
      <c r="AG41" s="20" t="n">
        <v>0</v>
      </c>
    </row>
    <row r="42">
      <c r="A42" s="7" t="str">
        <f>Secenekler!A42</f>
        <v>karar-kitabi-b</v>
      </c>
      <c r="B42" s="7" t="str">
        <f>Secenekler!C42</f>
        <v>Tema çalışma kâğıdı paketleri ve tam set</v>
      </c>
      <c r="C42" s="20" t="n">
        <v>0</v>
      </c>
      <c r="D42" s="20" t="n">
        <v>0</v>
      </c>
      <c r="E42" s="20" t="n">
        <v>1</v>
      </c>
      <c r="F42" s="20" t="n">
        <v>1</v>
      </c>
      <c r="G42" s="20" t="n">
        <v>0</v>
      </c>
      <c r="H42" s="20" t="n">
        <v>1</v>
      </c>
      <c r="I42" s="20" t="n">
        <v>0</v>
      </c>
      <c r="J42" s="20" t="n">
        <v>1</v>
      </c>
      <c r="K42" s="20" t="n">
        <v>0</v>
      </c>
      <c r="L42" s="20" t="n">
        <v>0</v>
      </c>
      <c r="M42" s="20" t="n">
        <v>0</v>
      </c>
      <c r="N42" s="20" t="n">
        <v>0</v>
      </c>
      <c r="O42" s="20" t="n">
        <v>0</v>
      </c>
      <c r="P42" s="20" t="n">
        <v>0</v>
      </c>
      <c r="Q42" s="20" t="n">
        <v>0</v>
      </c>
      <c r="R42" s="20" t="n">
        <v>0</v>
      </c>
      <c r="S42" s="20" t="n">
        <v>0</v>
      </c>
      <c r="T42" s="20" t="n">
        <v>0</v>
      </c>
      <c r="U42" s="20" t="n">
        <v>1</v>
      </c>
      <c r="V42" s="20" t="n">
        <v>0</v>
      </c>
      <c r="W42" s="20" t="n">
        <v>0</v>
      </c>
      <c r="X42" s="20" t="n">
        <v>0</v>
      </c>
      <c r="Y42" s="20" t="n">
        <v>1</v>
      </c>
      <c r="Z42" s="20" t="n">
        <v>0</v>
      </c>
      <c r="AA42" s="20" t="n">
        <v>0</v>
      </c>
      <c r="AB42" s="20" t="n">
        <v>0</v>
      </c>
      <c r="AD42" s="20" t="n">
        <v>1</v>
      </c>
      <c r="AE42" s="20" t="n">
        <v>1</v>
      </c>
      <c r="AF42" s="20" t="n">
        <v>0</v>
      </c>
      <c r="AG42" s="20" t="n">
        <v>0</v>
      </c>
    </row>
    <row r="43">
      <c r="A43" s="7" t="str">
        <f>Secenekler!A43</f>
        <v>karar-kitabi-c</v>
      </c>
      <c r="B43" s="7" t="str">
        <f>Secenekler!C43</f>
        <v>Facilitatör için özgün karar memosu kiti</v>
      </c>
      <c r="C43" s="20" t="n">
        <v>0</v>
      </c>
      <c r="D43" s="20" t="n">
        <v>0</v>
      </c>
      <c r="E43" s="20" t="n">
        <v>0</v>
      </c>
      <c r="F43" s="20" t="n">
        <v>0</v>
      </c>
      <c r="G43" s="20" t="n">
        <v>0</v>
      </c>
      <c r="H43" s="20" t="n">
        <v>1</v>
      </c>
      <c r="I43" s="20" t="n">
        <v>0</v>
      </c>
      <c r="J43" s="20" t="n">
        <v>0</v>
      </c>
      <c r="K43" s="20" t="n">
        <v>0</v>
      </c>
      <c r="L43" s="20" t="n">
        <v>0</v>
      </c>
      <c r="M43" s="20" t="n">
        <v>0</v>
      </c>
      <c r="N43" s="20" t="n">
        <v>0</v>
      </c>
      <c r="O43" s="20" t="n">
        <v>0</v>
      </c>
      <c r="P43" s="20" t="n">
        <v>0</v>
      </c>
      <c r="Q43" s="20" t="n">
        <v>0</v>
      </c>
      <c r="R43" s="20" t="n">
        <v>0</v>
      </c>
      <c r="S43" s="20" t="n">
        <v>0</v>
      </c>
      <c r="T43" s="20" t="n">
        <v>0</v>
      </c>
      <c r="U43" s="20" t="n">
        <v>0</v>
      </c>
      <c r="V43" s="20" t="n">
        <v>0</v>
      </c>
      <c r="W43" s="20" t="n">
        <v>0</v>
      </c>
      <c r="X43" s="20" t="n">
        <v>0</v>
      </c>
      <c r="Y43" s="20" t="n">
        <v>0</v>
      </c>
      <c r="Z43" s="20" t="n">
        <v>0</v>
      </c>
      <c r="AA43" s="20" t="n">
        <v>0</v>
      </c>
      <c r="AB43" s="20" t="n">
        <v>0</v>
      </c>
      <c r="AD43" s="20" t="n">
        <v>0</v>
      </c>
      <c r="AE43" s="20" t="n">
        <v>1</v>
      </c>
      <c r="AF43" s="20" t="n">
        <v>0</v>
      </c>
      <c r="AG43" s="20" t="n">
        <v>0</v>
      </c>
    </row>
    <row r="44">
      <c r="A44" s="7" t="str">
        <f>Secenekler!A44</f>
        <v>kurucu-sunum-hizmeti-a</v>
      </c>
      <c r="B44" s="7" t="str">
        <f>Secenekler!C44</f>
        <v>Hibe ve yatırım sunum paketi: site, canlı model, doğrulama</v>
      </c>
      <c r="C44" s="20" t="n">
        <v>1</v>
      </c>
      <c r="D44" s="20" t="n">
        <v>1</v>
      </c>
      <c r="E44" s="20" t="n">
        <v>1</v>
      </c>
      <c r="F44" s="20" t="n">
        <v>1</v>
      </c>
      <c r="G44" s="20" t="n">
        <v>0</v>
      </c>
      <c r="H44" s="20" t="n">
        <v>1</v>
      </c>
      <c r="I44" s="20" t="n">
        <v>1</v>
      </c>
      <c r="J44" s="20" t="n">
        <v>0</v>
      </c>
      <c r="K44" s="20" t="n">
        <v>0</v>
      </c>
      <c r="L44" s="20" t="n">
        <v>0</v>
      </c>
      <c r="M44" s="20" t="n">
        <v>1</v>
      </c>
      <c r="N44" s="20" t="n">
        <v>0</v>
      </c>
      <c r="O44" s="20" t="n">
        <v>0</v>
      </c>
      <c r="P44" s="20" t="n">
        <v>0</v>
      </c>
      <c r="Q44" s="20" t="n">
        <v>0</v>
      </c>
      <c r="R44" s="20" t="n">
        <v>0</v>
      </c>
      <c r="S44" s="20" t="n">
        <v>0</v>
      </c>
      <c r="T44" s="20" t="n">
        <v>0</v>
      </c>
      <c r="U44" s="20" t="n">
        <v>0</v>
      </c>
      <c r="V44" s="20" t="n">
        <v>0</v>
      </c>
      <c r="W44" s="20" t="n">
        <v>0</v>
      </c>
      <c r="X44" s="20" t="n">
        <v>0</v>
      </c>
      <c r="Y44" s="20" t="n">
        <v>1</v>
      </c>
      <c r="Z44" s="20" t="n">
        <v>0</v>
      </c>
      <c r="AA44" s="20" t="n">
        <v>0</v>
      </c>
      <c r="AB44" s="20" t="n">
        <v>0</v>
      </c>
      <c r="AD44" s="20" t="n">
        <v>1</v>
      </c>
      <c r="AE44" s="20" t="n">
        <v>0</v>
      </c>
      <c r="AF44" s="20" t="n">
        <v>0</v>
      </c>
      <c r="AG44" s="20" t="n">
        <v>0</v>
      </c>
    </row>
    <row r="45">
      <c r="A45" s="7" t="str">
        <f>Secenekler!A45</f>
        <v>kurucu-sunum-hizmeti-b</v>
      </c>
      <c r="B45" s="7" t="str">
        <f>Secenekler!C45</f>
        <v>Rakam tutarlılığı denetimi: tek dosya, sabit fiyat</v>
      </c>
      <c r="C45" s="20" t="n">
        <v>1</v>
      </c>
      <c r="D45" s="20" t="n">
        <v>1</v>
      </c>
      <c r="E45" s="20" t="n">
        <v>0</v>
      </c>
      <c r="F45" s="20" t="n">
        <v>1</v>
      </c>
      <c r="G45" s="20" t="n">
        <v>0</v>
      </c>
      <c r="H45" s="20" t="n">
        <v>1</v>
      </c>
      <c r="I45" s="20" t="n">
        <v>1</v>
      </c>
      <c r="J45" s="20" t="n">
        <v>0</v>
      </c>
      <c r="K45" s="20" t="n">
        <v>0</v>
      </c>
      <c r="L45" s="20" t="n">
        <v>0</v>
      </c>
      <c r="M45" s="20" t="n">
        <v>1</v>
      </c>
      <c r="N45" s="20" t="n">
        <v>0</v>
      </c>
      <c r="O45" s="20" t="n">
        <v>0</v>
      </c>
      <c r="P45" s="20" t="n">
        <v>0</v>
      </c>
      <c r="Q45" s="20" t="n">
        <v>0</v>
      </c>
      <c r="R45" s="20" t="n">
        <v>0</v>
      </c>
      <c r="S45" s="20" t="n">
        <v>0</v>
      </c>
      <c r="T45" s="20" t="n">
        <v>0</v>
      </c>
      <c r="U45" s="20" t="n">
        <v>0</v>
      </c>
      <c r="V45" s="20" t="n">
        <v>0</v>
      </c>
      <c r="W45" s="20" t="n">
        <v>0</v>
      </c>
      <c r="X45" s="20" t="n">
        <v>0</v>
      </c>
      <c r="Y45" s="20" t="n">
        <v>1</v>
      </c>
      <c r="Z45" s="20" t="n">
        <v>0</v>
      </c>
      <c r="AA45" s="20" t="n">
        <v>0</v>
      </c>
      <c r="AB45" s="20" t="n">
        <v>0</v>
      </c>
      <c r="AD45" s="20" t="n">
        <v>1</v>
      </c>
      <c r="AE45" s="20" t="n">
        <v>0</v>
      </c>
      <c r="AF45" s="20" t="n">
        <v>0</v>
      </c>
      <c r="AG45" s="20" t="n">
        <v>0</v>
      </c>
    </row>
    <row r="46">
      <c r="A46" s="7" t="str">
        <f>Secenekler!A46</f>
        <v>kurucu-sunum-hizmeti-c</v>
      </c>
      <c r="B46" s="7" t="str">
        <f>Secenekler!C46</f>
        <v>Kuluçka ve TTO yıllık lisansı: şablon, doğrulayıcı, eğitim</v>
      </c>
      <c r="C46" s="20" t="n">
        <v>0</v>
      </c>
      <c r="D46" s="20" t="n">
        <v>1</v>
      </c>
      <c r="E46" s="20" t="n">
        <v>0</v>
      </c>
      <c r="F46" s="20" t="n">
        <v>0</v>
      </c>
      <c r="G46" s="20" t="n">
        <v>0</v>
      </c>
      <c r="H46" s="20" t="n">
        <v>0</v>
      </c>
      <c r="I46" s="20" t="n">
        <v>1</v>
      </c>
      <c r="J46" s="20" t="n">
        <v>0</v>
      </c>
      <c r="K46" s="20" t="n">
        <v>0</v>
      </c>
      <c r="L46" s="20" t="n">
        <v>0</v>
      </c>
      <c r="M46" s="20" t="n">
        <v>1</v>
      </c>
      <c r="N46" s="20" t="n">
        <v>0</v>
      </c>
      <c r="O46" s="20" t="n">
        <v>0</v>
      </c>
      <c r="P46" s="20" t="n">
        <v>0</v>
      </c>
      <c r="Q46" s="20" t="n">
        <v>0</v>
      </c>
      <c r="R46" s="20" t="n">
        <v>0</v>
      </c>
      <c r="S46" s="20" t="n">
        <v>0</v>
      </c>
      <c r="T46" s="20" t="n">
        <v>0</v>
      </c>
      <c r="U46" s="20" t="n">
        <v>0</v>
      </c>
      <c r="V46" s="20" t="n">
        <v>0</v>
      </c>
      <c r="W46" s="20" t="n">
        <v>0</v>
      </c>
      <c r="X46" s="20" t="n">
        <v>0</v>
      </c>
      <c r="Y46" s="20" t="n">
        <v>1</v>
      </c>
      <c r="Z46" s="20" t="n">
        <v>0</v>
      </c>
      <c r="AA46" s="20" t="n">
        <v>0</v>
      </c>
      <c r="AB46" s="20" t="n">
        <v>0</v>
      </c>
      <c r="AD46" s="20" t="n">
        <v>1</v>
      </c>
      <c r="AE46" s="20" t="n">
        <v>0</v>
      </c>
      <c r="AF46" s="20" t="n">
        <v>0</v>
      </c>
      <c r="AG46" s="20" t="n">
        <v>0</v>
      </c>
    </row>
    <row r="47">
      <c r="A47" s="7" t="str">
        <f>Secenekler!A47</f>
        <v>vize-operasyon-a</v>
      </c>
      <c r="B47" s="7" t="str">
        <f>Secenekler!C47</f>
        <v>Acente paneli: 90 günlük pilot, sonra abonelik</v>
      </c>
      <c r="C47" s="20" t="n">
        <v>1</v>
      </c>
      <c r="D47" s="20" t="n">
        <v>0</v>
      </c>
      <c r="E47" s="20" t="n">
        <v>1</v>
      </c>
      <c r="F47" s="20" t="n">
        <v>1</v>
      </c>
      <c r="G47" s="20" t="n">
        <v>0</v>
      </c>
      <c r="H47" s="20" t="n">
        <v>0</v>
      </c>
      <c r="I47" s="20" t="n">
        <v>1</v>
      </c>
      <c r="J47" s="20" t="n">
        <v>0</v>
      </c>
      <c r="K47" s="20" t="n">
        <v>0</v>
      </c>
      <c r="L47" s="20" t="n">
        <v>0</v>
      </c>
      <c r="M47" s="20" t="n">
        <v>1</v>
      </c>
      <c r="N47" s="20" t="n">
        <v>0</v>
      </c>
      <c r="O47" s="20" t="n">
        <v>0</v>
      </c>
      <c r="P47" s="20" t="n">
        <v>1</v>
      </c>
      <c r="Q47" s="20" t="n">
        <v>0</v>
      </c>
      <c r="R47" s="20" t="n">
        <v>0</v>
      </c>
      <c r="S47" s="20" t="n">
        <v>0</v>
      </c>
      <c r="T47" s="20" t="n">
        <v>0</v>
      </c>
      <c r="U47" s="20" t="n">
        <v>1</v>
      </c>
      <c r="V47" s="20" t="n">
        <v>0</v>
      </c>
      <c r="W47" s="20" t="n">
        <v>0</v>
      </c>
      <c r="X47" s="20" t="n">
        <v>0</v>
      </c>
      <c r="Y47" s="20" t="n">
        <v>1</v>
      </c>
      <c r="Z47" s="20" t="n">
        <v>0</v>
      </c>
      <c r="AA47" s="20" t="n">
        <v>0</v>
      </c>
      <c r="AB47" s="20" t="n">
        <v>0</v>
      </c>
      <c r="AD47" s="20" t="n">
        <v>1</v>
      </c>
      <c r="AE47" s="20" t="n">
        <v>1</v>
      </c>
      <c r="AF47" s="20" t="n">
        <v>0</v>
      </c>
      <c r="AG47" s="20" t="n">
        <v>0</v>
      </c>
    </row>
    <row r="48">
      <c r="A48" s="7" t="str">
        <f>Secenekler!A48</f>
        <v>vize-operasyon-b</v>
      </c>
      <c r="B48" s="7" t="str">
        <f>Secenekler!C48</f>
        <v>Acente Sheet doğrulama ve eksik belge kuyruğu (ücretli pilot)</v>
      </c>
      <c r="C48" s="20" t="n">
        <v>1</v>
      </c>
      <c r="D48" s="20" t="n">
        <v>0</v>
      </c>
      <c r="E48" s="20" t="n">
        <v>0</v>
      </c>
      <c r="F48" s="20" t="n">
        <v>0</v>
      </c>
      <c r="G48" s="20" t="n">
        <v>0</v>
      </c>
      <c r="H48" s="20" t="n">
        <v>0</v>
      </c>
      <c r="I48" s="20" t="n">
        <v>0</v>
      </c>
      <c r="J48" s="20" t="n">
        <v>0</v>
      </c>
      <c r="K48" s="20" t="n">
        <v>0</v>
      </c>
      <c r="L48" s="20" t="n">
        <v>0</v>
      </c>
      <c r="M48" s="20" t="n">
        <v>1</v>
      </c>
      <c r="N48" s="20" t="n">
        <v>0</v>
      </c>
      <c r="O48" s="20" t="n">
        <v>0</v>
      </c>
      <c r="P48" s="20" t="n">
        <v>1</v>
      </c>
      <c r="Q48" s="20" t="n">
        <v>0</v>
      </c>
      <c r="R48" s="20" t="n">
        <v>0</v>
      </c>
      <c r="S48" s="20" t="n">
        <v>0</v>
      </c>
      <c r="T48" s="20" t="n">
        <v>0</v>
      </c>
      <c r="U48" s="20" t="n">
        <v>1</v>
      </c>
      <c r="V48" s="20" t="n">
        <v>0</v>
      </c>
      <c r="W48" s="20" t="n">
        <v>0</v>
      </c>
      <c r="X48" s="20" t="n">
        <v>0</v>
      </c>
      <c r="Y48" s="20" t="n">
        <v>1</v>
      </c>
      <c r="Z48" s="20" t="n">
        <v>0</v>
      </c>
      <c r="AA48" s="20" t="n">
        <v>1</v>
      </c>
      <c r="AB48" s="20" t="n">
        <v>0</v>
      </c>
      <c r="AD48" s="20" t="n">
        <v>1</v>
      </c>
      <c r="AE48" s="20" t="n">
        <v>0</v>
      </c>
      <c r="AF48" s="20" t="n">
        <v>0</v>
      </c>
      <c r="AG48" s="20" t="n">
        <v>0</v>
      </c>
    </row>
    <row r="49">
      <c r="A49" s="7" t="str">
        <f>Secenekler!A49</f>
        <v>vize-operasyon-c</v>
      </c>
      <c r="B49" s="7" t="str">
        <f>Secenekler!C49</f>
        <v>Başvurucu evrak kontrolü: 299/599 ₺ rapor, SEO ile</v>
      </c>
      <c r="C49" s="20" t="n">
        <v>1</v>
      </c>
      <c r="D49" s="20" t="n">
        <v>0</v>
      </c>
      <c r="E49" s="20" t="n">
        <v>1</v>
      </c>
      <c r="F49" s="20" t="n">
        <v>1</v>
      </c>
      <c r="G49" s="20" t="n">
        <v>0</v>
      </c>
      <c r="H49" s="20" t="n">
        <v>0</v>
      </c>
      <c r="I49" s="20" t="n">
        <v>0</v>
      </c>
      <c r="J49" s="20" t="n">
        <v>1</v>
      </c>
      <c r="K49" s="20" t="n">
        <v>0</v>
      </c>
      <c r="L49" s="20" t="n">
        <v>0</v>
      </c>
      <c r="M49" s="20" t="n">
        <v>0</v>
      </c>
      <c r="N49" s="20" t="n">
        <v>0</v>
      </c>
      <c r="O49" s="20" t="n">
        <v>0</v>
      </c>
      <c r="P49" s="20" t="n">
        <v>0</v>
      </c>
      <c r="Q49" s="20" t="n">
        <v>0</v>
      </c>
      <c r="R49" s="20" t="n">
        <v>0</v>
      </c>
      <c r="S49" s="20" t="n">
        <v>0</v>
      </c>
      <c r="T49" s="20" t="n">
        <v>0</v>
      </c>
      <c r="U49" s="20" t="n">
        <v>1</v>
      </c>
      <c r="V49" s="20" t="n">
        <v>0</v>
      </c>
      <c r="W49" s="20" t="n">
        <v>0</v>
      </c>
      <c r="X49" s="20" t="n">
        <v>0</v>
      </c>
      <c r="Y49" s="20" t="n">
        <v>1</v>
      </c>
      <c r="Z49" s="20" t="n">
        <v>0</v>
      </c>
      <c r="AA49" s="20" t="n">
        <v>1</v>
      </c>
      <c r="AB49" s="20" t="n">
        <v>0</v>
      </c>
      <c r="AD49" s="20" t="n">
        <v>1</v>
      </c>
      <c r="AE49" s="20" t="n">
        <v>1</v>
      </c>
      <c r="AF49" s="20" t="n">
        <v>0</v>
      </c>
      <c r="AG49" s="20" t="n">
        <v>0</v>
      </c>
    </row>
    <row r="50">
      <c r="A50" s="7" t="str">
        <f>Secenekler!A50</f>
        <v>software-factory-a</v>
      </c>
      <c r="B50" s="7" t="str">
        <f>Secenekler!C50</f>
        <v>Sabit fiyatlı kanıtlı MVP paketi (S/M/L)</v>
      </c>
      <c r="C50" s="20" t="n">
        <v>1</v>
      </c>
      <c r="D50" s="20" t="n">
        <v>0</v>
      </c>
      <c r="E50" s="20" t="n">
        <v>1</v>
      </c>
      <c r="F50" s="20" t="n">
        <v>1</v>
      </c>
      <c r="G50" s="20" t="n">
        <v>0</v>
      </c>
      <c r="H50" s="20" t="n">
        <v>1</v>
      </c>
      <c r="I50" s="20" t="n">
        <v>0</v>
      </c>
      <c r="J50" s="20" t="n">
        <v>1</v>
      </c>
      <c r="K50" s="20" t="n">
        <v>0</v>
      </c>
      <c r="L50" s="20" t="n">
        <v>0</v>
      </c>
      <c r="M50" s="20" t="n">
        <v>1</v>
      </c>
      <c r="N50" s="20" t="n">
        <v>0</v>
      </c>
      <c r="O50" s="20" t="n">
        <v>0</v>
      </c>
      <c r="P50" s="20" t="n">
        <v>0</v>
      </c>
      <c r="Q50" s="20" t="n">
        <v>0</v>
      </c>
      <c r="R50" s="20" t="n">
        <v>0</v>
      </c>
      <c r="S50" s="20" t="n">
        <v>0</v>
      </c>
      <c r="T50" s="20" t="n">
        <v>0</v>
      </c>
      <c r="U50" s="20" t="n">
        <v>1</v>
      </c>
      <c r="V50" s="20" t="n">
        <v>0</v>
      </c>
      <c r="W50" s="20" t="n">
        <v>0</v>
      </c>
      <c r="X50" s="20" t="n">
        <v>1</v>
      </c>
      <c r="Y50" s="20" t="n">
        <v>1</v>
      </c>
      <c r="Z50" s="20" t="n">
        <v>1</v>
      </c>
      <c r="AA50" s="20" t="n">
        <v>0</v>
      </c>
      <c r="AB50" s="20" t="n">
        <v>0</v>
      </c>
      <c r="AD50" s="20" t="n">
        <v>1</v>
      </c>
      <c r="AE50" s="20" t="n">
        <v>0</v>
      </c>
      <c r="AF50" s="20" t="n">
        <v>0</v>
      </c>
      <c r="AG50" s="20" t="n">
        <v>0</v>
      </c>
    </row>
    <row r="51">
      <c r="A51" s="7" t="str">
        <f>Secenekler!A51</f>
        <v>software-factory-b</v>
      </c>
      <c r="B51" s="7" t="str">
        <f>Secenekler!C51</f>
        <v>Tek repo için ajan PR makbuzu kurulum hizmeti</v>
      </c>
      <c r="C51" s="20" t="n">
        <v>0</v>
      </c>
      <c r="D51" s="20" t="n">
        <v>0</v>
      </c>
      <c r="E51" s="20" t="n">
        <v>1</v>
      </c>
      <c r="F51" s="20" t="n">
        <v>1</v>
      </c>
      <c r="G51" s="20" t="n">
        <v>0</v>
      </c>
      <c r="H51" s="20" t="n">
        <v>0</v>
      </c>
      <c r="I51" s="20" t="n">
        <v>0</v>
      </c>
      <c r="J51" s="20" t="n">
        <v>1</v>
      </c>
      <c r="K51" s="20" t="n">
        <v>0</v>
      </c>
      <c r="L51" s="20" t="n">
        <v>0</v>
      </c>
      <c r="M51" s="20" t="n">
        <v>0</v>
      </c>
      <c r="N51" s="20" t="n">
        <v>0</v>
      </c>
      <c r="O51" s="20" t="n">
        <v>0</v>
      </c>
      <c r="P51" s="20" t="n">
        <v>0</v>
      </c>
      <c r="Q51" s="20" t="n">
        <v>0</v>
      </c>
      <c r="R51" s="20" t="n">
        <v>0</v>
      </c>
      <c r="S51" s="20" t="n">
        <v>0</v>
      </c>
      <c r="T51" s="20" t="n">
        <v>0</v>
      </c>
      <c r="U51" s="20" t="n">
        <v>1</v>
      </c>
      <c r="V51" s="20" t="n">
        <v>0</v>
      </c>
      <c r="W51" s="20" t="n">
        <v>0</v>
      </c>
      <c r="X51" s="20" t="n">
        <v>1</v>
      </c>
      <c r="Y51" s="20" t="n">
        <v>1</v>
      </c>
      <c r="Z51" s="20" t="n">
        <v>0</v>
      </c>
      <c r="AA51" s="20" t="n">
        <v>0</v>
      </c>
      <c r="AB51" s="20" t="n">
        <v>0</v>
      </c>
      <c r="AD51" s="20" t="n">
        <v>0</v>
      </c>
      <c r="AE51" s="20" t="n">
        <v>1</v>
      </c>
      <c r="AF51" s="20" t="n">
        <v>0</v>
      </c>
      <c r="AG51" s="20" t="n">
        <v>0</v>
      </c>
    </row>
    <row r="52">
      <c r="A52" s="7" t="str">
        <f>Secenekler!A52</f>
        <v>software-factory-c</v>
      </c>
      <c r="B52" s="7" t="str">
        <f>Secenekler!C52</f>
        <v>Ajanslara beyaz etiket kanıtlı MVP kapasitesi</v>
      </c>
      <c r="C52" s="20" t="n">
        <v>0</v>
      </c>
      <c r="D52" s="20" t="n">
        <v>0</v>
      </c>
      <c r="E52" s="20" t="n">
        <v>0</v>
      </c>
      <c r="F52" s="20" t="n">
        <v>0</v>
      </c>
      <c r="G52" s="20" t="n">
        <v>0</v>
      </c>
      <c r="H52" s="20" t="n">
        <v>0</v>
      </c>
      <c r="I52" s="20" t="n">
        <v>0</v>
      </c>
      <c r="J52" s="20" t="n">
        <v>0</v>
      </c>
      <c r="K52" s="20" t="n">
        <v>0</v>
      </c>
      <c r="L52" s="20" t="n">
        <v>0</v>
      </c>
      <c r="M52" s="20" t="n">
        <v>1</v>
      </c>
      <c r="N52" s="20" t="n">
        <v>0</v>
      </c>
      <c r="O52" s="20" t="n">
        <v>0</v>
      </c>
      <c r="P52" s="20" t="n">
        <v>0</v>
      </c>
      <c r="Q52" s="20" t="n">
        <v>0</v>
      </c>
      <c r="R52" s="20" t="n">
        <v>0</v>
      </c>
      <c r="S52" s="20" t="n">
        <v>0</v>
      </c>
      <c r="T52" s="20" t="n">
        <v>0</v>
      </c>
      <c r="U52" s="20" t="n">
        <v>1</v>
      </c>
      <c r="V52" s="20" t="n">
        <v>0</v>
      </c>
      <c r="W52" s="20" t="n">
        <v>0</v>
      </c>
      <c r="X52" s="20" t="n">
        <v>0</v>
      </c>
      <c r="Y52" s="20" t="n">
        <v>0</v>
      </c>
      <c r="Z52" s="20" t="n">
        <v>1</v>
      </c>
      <c r="AA52" s="20" t="n">
        <v>0</v>
      </c>
      <c r="AB52" s="20" t="n">
        <v>0</v>
      </c>
      <c r="AD52" s="20" t="n">
        <v>0</v>
      </c>
      <c r="AE52" s="20" t="n">
        <v>0</v>
      </c>
      <c r="AF52" s="20" t="n">
        <v>0</v>
      </c>
      <c r="AG52" s="20" t="n">
        <v>0</v>
      </c>
    </row>
    <row r="53">
      <c r="A53" s="7" t="str">
        <f>Secenekler!A53</f>
        <v>strateji-simulatoru-a</v>
      </c>
      <c r="B53" s="7" t="str">
        <f>Secenekler!C53</f>
        <v>Kuluçka ve BİGG uygulayıcıya white-label lisans</v>
      </c>
      <c r="C53" s="20" t="n">
        <v>1</v>
      </c>
      <c r="D53" s="20" t="n">
        <v>1</v>
      </c>
      <c r="E53" s="20" t="n">
        <v>0</v>
      </c>
      <c r="F53" s="20" t="n">
        <v>1</v>
      </c>
      <c r="G53" s="20" t="n">
        <v>0</v>
      </c>
      <c r="H53" s="20" t="n">
        <v>0</v>
      </c>
      <c r="I53" s="20" t="n">
        <v>1</v>
      </c>
      <c r="J53" s="20" t="n">
        <v>0</v>
      </c>
      <c r="K53" s="20" t="n">
        <v>0</v>
      </c>
      <c r="L53" s="20" t="n">
        <v>1</v>
      </c>
      <c r="M53" s="20" t="n">
        <v>1</v>
      </c>
      <c r="N53" s="20" t="n">
        <v>0</v>
      </c>
      <c r="O53" s="20" t="n">
        <v>0</v>
      </c>
      <c r="P53" s="20" t="n">
        <v>0</v>
      </c>
      <c r="Q53" s="20" t="n">
        <v>0</v>
      </c>
      <c r="R53" s="20" t="n">
        <v>1</v>
      </c>
      <c r="S53" s="20" t="n">
        <v>0</v>
      </c>
      <c r="T53" s="20" t="n">
        <v>1</v>
      </c>
      <c r="U53" s="20" t="n">
        <v>0</v>
      </c>
      <c r="V53" s="20" t="n">
        <v>0</v>
      </c>
      <c r="W53" s="20" t="n">
        <v>0</v>
      </c>
      <c r="X53" s="20" t="n">
        <v>1</v>
      </c>
      <c r="Y53" s="20" t="n">
        <v>1</v>
      </c>
      <c r="Z53" s="20" t="n">
        <v>0</v>
      </c>
      <c r="AA53" s="20" t="n">
        <v>1</v>
      </c>
      <c r="AB53" s="20" t="n">
        <v>0</v>
      </c>
      <c r="AD53" s="20" t="n">
        <v>1</v>
      </c>
      <c r="AE53" s="20" t="n">
        <v>0</v>
      </c>
      <c r="AF53" s="20" t="n">
        <v>0</v>
      </c>
      <c r="AG53" s="20" t="n">
        <v>0</v>
      </c>
    </row>
    <row r="54">
      <c r="A54" s="7" t="str">
        <f>Secenekler!A54</f>
        <v>strateji-simulatoru-b</v>
      </c>
      <c r="B54" s="7" t="str">
        <f>Secenekler!C54</f>
        <v>Girişimci adayına ücretli yönetici raporu (PDF)</v>
      </c>
      <c r="C54" s="20" t="n">
        <v>1</v>
      </c>
      <c r="D54" s="20" t="n">
        <v>1</v>
      </c>
      <c r="E54" s="20" t="n">
        <v>0</v>
      </c>
      <c r="F54" s="20" t="n">
        <v>0</v>
      </c>
      <c r="G54" s="20" t="n">
        <v>0</v>
      </c>
      <c r="H54" s="20" t="n">
        <v>0</v>
      </c>
      <c r="I54" s="20" t="n">
        <v>0</v>
      </c>
      <c r="J54" s="20" t="n">
        <v>0</v>
      </c>
      <c r="K54" s="20" t="n">
        <v>0</v>
      </c>
      <c r="L54" s="20" t="n">
        <v>1</v>
      </c>
      <c r="M54" s="20" t="n">
        <v>0</v>
      </c>
      <c r="N54" s="20" t="n">
        <v>0</v>
      </c>
      <c r="O54" s="20" t="n">
        <v>0</v>
      </c>
      <c r="P54" s="20" t="n">
        <v>0</v>
      </c>
      <c r="Q54" s="20" t="n">
        <v>0</v>
      </c>
      <c r="R54" s="20" t="n">
        <v>1</v>
      </c>
      <c r="S54" s="20" t="n">
        <v>0</v>
      </c>
      <c r="T54" s="20" t="n">
        <v>1</v>
      </c>
      <c r="U54" s="20" t="n">
        <v>0</v>
      </c>
      <c r="V54" s="20" t="n">
        <v>0</v>
      </c>
      <c r="W54" s="20" t="n">
        <v>0</v>
      </c>
      <c r="X54" s="20" t="n">
        <v>1</v>
      </c>
      <c r="Y54" s="20" t="n">
        <v>1</v>
      </c>
      <c r="Z54" s="20" t="n">
        <v>0</v>
      </c>
      <c r="AA54" s="20" t="n">
        <v>1</v>
      </c>
      <c r="AB54" s="20" t="n">
        <v>0</v>
      </c>
      <c r="AD54" s="20" t="n">
        <v>1</v>
      </c>
      <c r="AE54" s="20" t="n">
        <v>1</v>
      </c>
      <c r="AF54" s="20" t="n">
        <v>0</v>
      </c>
      <c r="AG54" s="20" t="n">
        <v>0</v>
      </c>
    </row>
    <row r="55">
      <c r="A55" s="7" t="str">
        <f>Secenekler!A55</f>
        <v>strateji-simulatoru-c</v>
      </c>
      <c r="B55" s="7" t="str">
        <f>Secenekler!C55</f>
        <v>Mevcut müşterilere değerlendirme raporu ve yorum görüşmesi</v>
      </c>
      <c r="C55" s="20" t="n">
        <v>0</v>
      </c>
      <c r="D55" s="20" t="n">
        <v>0</v>
      </c>
      <c r="E55" s="20" t="n">
        <v>0</v>
      </c>
      <c r="F55" s="20" t="n">
        <v>0</v>
      </c>
      <c r="G55" s="20" t="n">
        <v>0</v>
      </c>
      <c r="H55" s="20" t="n">
        <v>0</v>
      </c>
      <c r="I55" s="20" t="n">
        <v>1</v>
      </c>
      <c r="J55" s="20" t="n">
        <v>0</v>
      </c>
      <c r="K55" s="20" t="n">
        <v>0</v>
      </c>
      <c r="L55" s="20" t="n">
        <v>0</v>
      </c>
      <c r="M55" s="20" t="n">
        <v>0</v>
      </c>
      <c r="N55" s="20" t="n">
        <v>0</v>
      </c>
      <c r="O55" s="20" t="n">
        <v>0</v>
      </c>
      <c r="P55" s="20" t="n">
        <v>1</v>
      </c>
      <c r="Q55" s="20" t="n">
        <v>0</v>
      </c>
      <c r="R55" s="20" t="n">
        <v>1</v>
      </c>
      <c r="S55" s="20" t="n">
        <v>0</v>
      </c>
      <c r="T55" s="20" t="n">
        <v>1</v>
      </c>
      <c r="U55" s="20" t="n">
        <v>0</v>
      </c>
      <c r="V55" s="20" t="n">
        <v>0</v>
      </c>
      <c r="W55" s="20" t="n">
        <v>0</v>
      </c>
      <c r="X55" s="20" t="n">
        <v>1</v>
      </c>
      <c r="Y55" s="20" t="n">
        <v>1</v>
      </c>
      <c r="Z55" s="20" t="n">
        <v>0</v>
      </c>
      <c r="AA55" s="20" t="n">
        <v>1</v>
      </c>
      <c r="AB55" s="20" t="n">
        <v>0</v>
      </c>
      <c r="AD55" s="20" t="n">
        <v>0</v>
      </c>
      <c r="AE55" s="20" t="n">
        <v>0</v>
      </c>
      <c r="AF55" s="20" t="n">
        <v>0</v>
      </c>
      <c r="AG55" s="20" t="n">
        <v>0</v>
      </c>
    </row>
    <row r="56">
      <c r="A56" s="7" t="str">
        <f>Secenekler!A56</f>
        <v>ajan-kaynak-koruyucu-a</v>
      </c>
      <c r="B56" s="7" t="str">
        <f>Secenekler!C56</f>
        <v>Pro menü çubuğu uygulaması ve rehber paketi (bireysel geliştirici)</v>
      </c>
      <c r="C56" s="20" t="n">
        <v>1</v>
      </c>
      <c r="D56" s="20" t="n">
        <v>1</v>
      </c>
      <c r="E56" s="20" t="n">
        <v>1</v>
      </c>
      <c r="F56" s="20" t="n">
        <v>1</v>
      </c>
      <c r="G56" s="20" t="n">
        <v>0</v>
      </c>
      <c r="H56" s="20" t="n">
        <v>1</v>
      </c>
      <c r="I56" s="20" t="n">
        <v>0</v>
      </c>
      <c r="J56" s="20" t="n">
        <v>1</v>
      </c>
      <c r="K56" s="20" t="n">
        <v>1</v>
      </c>
      <c r="L56" s="20" t="n">
        <v>0</v>
      </c>
      <c r="M56" s="20" t="n">
        <v>1</v>
      </c>
      <c r="N56" s="20" t="n">
        <v>0</v>
      </c>
      <c r="O56" s="20" t="n">
        <v>0</v>
      </c>
      <c r="P56" s="20" t="n">
        <v>1</v>
      </c>
      <c r="Q56" s="20" t="n">
        <v>0</v>
      </c>
      <c r="R56" s="20" t="n">
        <v>1</v>
      </c>
      <c r="S56" s="20" t="n">
        <v>0</v>
      </c>
      <c r="T56" s="20" t="n">
        <v>1</v>
      </c>
      <c r="U56" s="20" t="n">
        <v>0</v>
      </c>
      <c r="V56" s="20" t="n">
        <v>0</v>
      </c>
      <c r="W56" s="20" t="n">
        <v>0</v>
      </c>
      <c r="X56" s="20" t="n">
        <v>1</v>
      </c>
      <c r="Y56" s="20" t="n">
        <v>1</v>
      </c>
      <c r="Z56" s="20" t="n">
        <v>0</v>
      </c>
      <c r="AA56" s="20" t="n">
        <v>1</v>
      </c>
      <c r="AB56" s="20" t="n">
        <v>0</v>
      </c>
      <c r="AD56" s="20" t="n">
        <v>1</v>
      </c>
      <c r="AE56" s="20" t="n">
        <v>1</v>
      </c>
      <c r="AF56" s="20" t="n">
        <v>0</v>
      </c>
      <c r="AG56" s="20" t="n">
        <v>0</v>
      </c>
    </row>
    <row r="57">
      <c r="A57" s="7" t="str">
        <f>Secenekler!A57</f>
        <v>ajan-kaynak-koruyucu-b</v>
      </c>
      <c r="B57" s="7" t="str">
        <f>Secenekler!C57</f>
        <v>Rapor-yalnız paket ve destekli kurulum/uyumluluk hizmeti</v>
      </c>
      <c r="C57" s="20" t="n">
        <v>1</v>
      </c>
      <c r="D57" s="20" t="n">
        <v>0</v>
      </c>
      <c r="E57" s="20" t="n">
        <v>0</v>
      </c>
      <c r="F57" s="20" t="n">
        <v>1</v>
      </c>
      <c r="G57" s="20" t="n">
        <v>0</v>
      </c>
      <c r="H57" s="20" t="n">
        <v>0</v>
      </c>
      <c r="I57" s="20" t="n">
        <v>0</v>
      </c>
      <c r="J57" s="20" t="n">
        <v>0</v>
      </c>
      <c r="K57" s="20" t="n">
        <v>0</v>
      </c>
      <c r="L57" s="20" t="n">
        <v>0</v>
      </c>
      <c r="M57" s="20" t="n">
        <v>0</v>
      </c>
      <c r="N57" s="20" t="n">
        <v>0</v>
      </c>
      <c r="O57" s="20" t="n">
        <v>0</v>
      </c>
      <c r="P57" s="20" t="n">
        <v>1</v>
      </c>
      <c r="Q57" s="20" t="n">
        <v>0</v>
      </c>
      <c r="R57" s="20" t="n">
        <v>0</v>
      </c>
      <c r="S57" s="20" t="n">
        <v>0</v>
      </c>
      <c r="T57" s="20" t="n">
        <v>1</v>
      </c>
      <c r="U57" s="20" t="n">
        <v>0</v>
      </c>
      <c r="V57" s="20" t="n">
        <v>0</v>
      </c>
      <c r="W57" s="20" t="n">
        <v>0</v>
      </c>
      <c r="X57" s="20" t="n">
        <v>1</v>
      </c>
      <c r="Y57" s="20" t="n">
        <v>1</v>
      </c>
      <c r="Z57" s="20" t="n">
        <v>0</v>
      </c>
      <c r="AA57" s="20" t="n">
        <v>1</v>
      </c>
      <c r="AB57" s="20" t="n">
        <v>0</v>
      </c>
      <c r="AD57" s="20" t="n">
        <v>0</v>
      </c>
      <c r="AE57" s="20" t="n">
        <v>1</v>
      </c>
      <c r="AF57" s="20" t="n">
        <v>0</v>
      </c>
      <c r="AG57" s="20" t="n">
        <v>0</v>
      </c>
    </row>
    <row r="58">
      <c r="A58" s="7" t="str">
        <f>Secenekler!A58</f>
        <v>ajan-kaynak-koruyucu-c</v>
      </c>
      <c r="B58" s="7" t="str">
        <f>Secenekler!C58</f>
        <v>Orkestratör ortaklığı ve kurumsal sponsorluk (kabul API'si)</v>
      </c>
      <c r="C58" s="20" t="n">
        <v>1</v>
      </c>
      <c r="D58" s="20" t="n">
        <v>0</v>
      </c>
      <c r="E58" s="20" t="n">
        <v>0</v>
      </c>
      <c r="F58" s="20" t="n">
        <v>0</v>
      </c>
      <c r="G58" s="20" t="n">
        <v>0</v>
      </c>
      <c r="H58" s="20" t="n">
        <v>1</v>
      </c>
      <c r="I58" s="20" t="n">
        <v>1</v>
      </c>
      <c r="J58" s="20" t="n">
        <v>0</v>
      </c>
      <c r="K58" s="20" t="n">
        <v>1</v>
      </c>
      <c r="L58" s="20" t="n">
        <v>0</v>
      </c>
      <c r="M58" s="20" t="n">
        <v>0</v>
      </c>
      <c r="N58" s="20" t="n">
        <v>0</v>
      </c>
      <c r="O58" s="20" t="n">
        <v>0</v>
      </c>
      <c r="P58" s="20" t="n">
        <v>1</v>
      </c>
      <c r="Q58" s="20" t="n">
        <v>0</v>
      </c>
      <c r="R58" s="20" t="n">
        <v>1</v>
      </c>
      <c r="S58" s="20" t="n">
        <v>0</v>
      </c>
      <c r="T58" s="20" t="n">
        <v>0</v>
      </c>
      <c r="U58" s="20" t="n">
        <v>0</v>
      </c>
      <c r="V58" s="20" t="n">
        <v>1</v>
      </c>
      <c r="W58" s="20" t="n">
        <v>0</v>
      </c>
      <c r="X58" s="20" t="n">
        <v>0</v>
      </c>
      <c r="Y58" s="20" t="n">
        <v>1</v>
      </c>
      <c r="Z58" s="20" t="n">
        <v>0</v>
      </c>
      <c r="AA58" s="20" t="n">
        <v>1</v>
      </c>
      <c r="AB58" s="20" t="n">
        <v>0</v>
      </c>
      <c r="AD58" s="20" t="n">
        <v>1</v>
      </c>
      <c r="AE58" s="20" t="n">
        <v>0</v>
      </c>
      <c r="AF58" s="20" t="n">
        <v>0</v>
      </c>
      <c r="AG58" s="20" t="n">
        <v>0</v>
      </c>
    </row>
    <row r="59">
      <c r="A59" s="7" t="str">
        <f>Secenekler!A59</f>
        <v>actionplan-a</v>
      </c>
      <c r="B59" s="7" t="str">
        <f>Secenekler!C59</f>
        <v>Ajan görev paketi: açık çekirdek ve Pro şablonlar</v>
      </c>
      <c r="C59" s="20" t="n">
        <v>1</v>
      </c>
      <c r="D59" s="20" t="n">
        <v>0</v>
      </c>
      <c r="E59" s="20" t="n">
        <v>1</v>
      </c>
      <c r="F59" s="20" t="n">
        <v>1</v>
      </c>
      <c r="G59" s="20" t="n">
        <v>0</v>
      </c>
      <c r="H59" s="20" t="n">
        <v>0</v>
      </c>
      <c r="I59" s="20" t="n">
        <v>1</v>
      </c>
      <c r="J59" s="20" t="n">
        <v>0</v>
      </c>
      <c r="K59" s="20" t="n">
        <v>0</v>
      </c>
      <c r="L59" s="20" t="n">
        <v>0</v>
      </c>
      <c r="M59" s="20" t="n">
        <v>1</v>
      </c>
      <c r="N59" s="20" t="n">
        <v>0</v>
      </c>
      <c r="O59" s="20" t="n">
        <v>0</v>
      </c>
      <c r="P59" s="20" t="n">
        <v>1</v>
      </c>
      <c r="Q59" s="20" t="n">
        <v>0</v>
      </c>
      <c r="R59" s="20" t="n">
        <v>1</v>
      </c>
      <c r="S59" s="20" t="n">
        <v>0</v>
      </c>
      <c r="T59" s="20" t="n">
        <v>1</v>
      </c>
      <c r="U59" s="20" t="n">
        <v>0</v>
      </c>
      <c r="V59" s="20" t="n">
        <v>0</v>
      </c>
      <c r="W59" s="20" t="n">
        <v>0</v>
      </c>
      <c r="X59" s="20" t="n">
        <v>1</v>
      </c>
      <c r="Y59" s="20" t="n">
        <v>1</v>
      </c>
      <c r="Z59" s="20" t="n">
        <v>0</v>
      </c>
      <c r="AA59" s="20" t="n">
        <v>0</v>
      </c>
      <c r="AB59" s="20" t="n">
        <v>0</v>
      </c>
      <c r="AD59" s="20" t="n">
        <v>1</v>
      </c>
      <c r="AE59" s="20" t="n">
        <v>1</v>
      </c>
      <c r="AF59" s="20" t="n">
        <v>0</v>
      </c>
      <c r="AG59" s="20" t="n">
        <v>0</v>
      </c>
    </row>
    <row r="60">
      <c r="A60" s="7" t="str">
        <f>Secenekler!A60</f>
        <v>actionplan-b</v>
      </c>
      <c r="B60" s="7" t="str">
        <f>Secenekler!C60</f>
        <v>Teslim kabul kurulumu: sürümlü kapsam ve kanıt paketi</v>
      </c>
      <c r="C60" s="20" t="n">
        <v>0</v>
      </c>
      <c r="D60" s="20" t="n">
        <v>0</v>
      </c>
      <c r="E60" s="20" t="n">
        <v>0</v>
      </c>
      <c r="F60" s="20" t="n">
        <v>1</v>
      </c>
      <c r="G60" s="20" t="n">
        <v>0</v>
      </c>
      <c r="H60" s="20" t="n">
        <v>0</v>
      </c>
      <c r="I60" s="20" t="n">
        <v>0</v>
      </c>
      <c r="J60" s="20" t="n">
        <v>0</v>
      </c>
      <c r="K60" s="20" t="n">
        <v>0</v>
      </c>
      <c r="L60" s="20" t="n">
        <v>0</v>
      </c>
      <c r="M60" s="20" t="n">
        <v>0</v>
      </c>
      <c r="N60" s="20" t="n">
        <v>0</v>
      </c>
      <c r="O60" s="20" t="n">
        <v>0</v>
      </c>
      <c r="P60" s="20" t="n">
        <v>0</v>
      </c>
      <c r="Q60" s="20" t="n">
        <v>0</v>
      </c>
      <c r="R60" s="20" t="n">
        <v>0</v>
      </c>
      <c r="S60" s="20" t="n">
        <v>0</v>
      </c>
      <c r="T60" s="20" t="n">
        <v>0</v>
      </c>
      <c r="U60" s="20" t="n">
        <v>0</v>
      </c>
      <c r="V60" s="20" t="n">
        <v>0</v>
      </c>
      <c r="W60" s="20" t="n">
        <v>0</v>
      </c>
      <c r="X60" s="20" t="n">
        <v>0</v>
      </c>
      <c r="Y60" s="20" t="n">
        <v>1</v>
      </c>
      <c r="Z60" s="20" t="n">
        <v>0</v>
      </c>
      <c r="AA60" s="20" t="n">
        <v>0</v>
      </c>
      <c r="AB60" s="20" t="n">
        <v>0</v>
      </c>
      <c r="AD60" s="20" t="n">
        <v>0</v>
      </c>
      <c r="AE60" s="20" t="n">
        <v>0</v>
      </c>
      <c r="AF60" s="20" t="n">
        <v>0</v>
      </c>
      <c r="AG60" s="20" t="n">
        <v>0</v>
      </c>
    </row>
    <row r="61">
      <c r="A61" s="7" t="str">
        <f>Secenekler!A61</f>
        <v>actionplan-c</v>
      </c>
      <c r="B61" s="7" t="str">
        <f>Secenekler!C61</f>
        <v>Türkçe ajan görev şablon paketi</v>
      </c>
      <c r="C61" s="20" t="n">
        <v>0</v>
      </c>
      <c r="D61" s="20" t="n">
        <v>0</v>
      </c>
      <c r="E61" s="20" t="n">
        <v>0</v>
      </c>
      <c r="F61" s="20" t="n">
        <v>1</v>
      </c>
      <c r="G61" s="20" t="n">
        <v>0</v>
      </c>
      <c r="H61" s="20" t="n">
        <v>0</v>
      </c>
      <c r="I61" s="20" t="n">
        <v>0</v>
      </c>
      <c r="J61" s="20" t="n">
        <v>0</v>
      </c>
      <c r="K61" s="20" t="n">
        <v>0</v>
      </c>
      <c r="L61" s="20" t="n">
        <v>0</v>
      </c>
      <c r="M61" s="20" t="n">
        <v>0</v>
      </c>
      <c r="N61" s="20" t="n">
        <v>0</v>
      </c>
      <c r="O61" s="20" t="n">
        <v>0</v>
      </c>
      <c r="P61" s="20" t="n">
        <v>0</v>
      </c>
      <c r="Q61" s="20" t="n">
        <v>0</v>
      </c>
      <c r="R61" s="20" t="n">
        <v>0</v>
      </c>
      <c r="S61" s="20" t="n">
        <v>0</v>
      </c>
      <c r="T61" s="20" t="n">
        <v>0</v>
      </c>
      <c r="U61" s="20" t="n">
        <v>0</v>
      </c>
      <c r="V61" s="20" t="n">
        <v>0</v>
      </c>
      <c r="W61" s="20" t="n">
        <v>0</v>
      </c>
      <c r="X61" s="20" t="n">
        <v>0</v>
      </c>
      <c r="Y61" s="20" t="n">
        <v>1</v>
      </c>
      <c r="Z61" s="20" t="n">
        <v>0</v>
      </c>
      <c r="AA61" s="20" t="n">
        <v>0</v>
      </c>
      <c r="AB61" s="20" t="n">
        <v>0</v>
      </c>
      <c r="AD61" s="20" t="n">
        <v>1</v>
      </c>
      <c r="AE61" s="20" t="n">
        <v>1</v>
      </c>
      <c r="AF61" s="20" t="n">
        <v>0</v>
      </c>
      <c r="AG61" s="20" t="n">
        <v>0</v>
      </c>
    </row>
    <row r="62">
      <c r="A62" s="7" t="str">
        <f>Secenekler!A62</f>
        <v>ajan-gozlem-paneli-a</v>
      </c>
      <c r="B62" s="7" t="str">
        <f>Secenekler!C62</f>
        <v>Koruyucu Pro içinde Gözlem Paneli (tek seferlik lisans)</v>
      </c>
      <c r="C62" s="20" t="n">
        <v>1</v>
      </c>
      <c r="D62" s="20" t="n">
        <v>0</v>
      </c>
      <c r="E62" s="20" t="n">
        <v>1</v>
      </c>
      <c r="F62" s="20" t="n">
        <v>1</v>
      </c>
      <c r="G62" s="20" t="n">
        <v>0</v>
      </c>
      <c r="H62" s="20" t="n">
        <v>1</v>
      </c>
      <c r="I62" s="20" t="n">
        <v>0</v>
      </c>
      <c r="J62" s="20" t="n">
        <v>1</v>
      </c>
      <c r="K62" s="20" t="n">
        <v>0</v>
      </c>
      <c r="L62" s="20" t="n">
        <v>0</v>
      </c>
      <c r="M62" s="20" t="n">
        <v>0</v>
      </c>
      <c r="N62" s="20" t="n">
        <v>0</v>
      </c>
      <c r="O62" s="20" t="n">
        <v>0</v>
      </c>
      <c r="P62" s="20" t="n">
        <v>0</v>
      </c>
      <c r="Q62" s="20" t="n">
        <v>0</v>
      </c>
      <c r="R62" s="20" t="n">
        <v>0</v>
      </c>
      <c r="S62" s="20" t="n">
        <v>0</v>
      </c>
      <c r="T62" s="20" t="n">
        <v>0</v>
      </c>
      <c r="U62" s="20" t="n">
        <v>1</v>
      </c>
      <c r="V62" s="20" t="n">
        <v>0</v>
      </c>
      <c r="W62" s="20" t="n">
        <v>0</v>
      </c>
      <c r="X62" s="20" t="n">
        <v>0</v>
      </c>
      <c r="Y62" s="20" t="n">
        <v>1</v>
      </c>
      <c r="Z62" s="20" t="n">
        <v>0</v>
      </c>
      <c r="AA62" s="20" t="n">
        <v>0</v>
      </c>
      <c r="AB62" s="20" t="n">
        <v>0</v>
      </c>
      <c r="AD62" s="20" t="n">
        <v>0</v>
      </c>
      <c r="AE62" s="20" t="n">
        <v>1</v>
      </c>
      <c r="AF62" s="20" t="n">
        <v>0</v>
      </c>
      <c r="AG62" s="20" t="n">
        <v>0</v>
      </c>
    </row>
    <row r="63">
      <c r="A63" s="7" t="str">
        <f>Secenekler!A63</f>
        <v>ajan-gozlem-paneli-b</v>
      </c>
      <c r="B63" s="7" t="str">
        <f>Secenekler!C63</f>
        <v>Ajanslar için aylık proje bazlı yapay zekâ maliyet raporu</v>
      </c>
      <c r="C63" s="20" t="n">
        <v>0</v>
      </c>
      <c r="D63" s="20" t="n">
        <v>0</v>
      </c>
      <c r="E63" s="20" t="n">
        <v>0</v>
      </c>
      <c r="F63" s="20" t="n">
        <v>0</v>
      </c>
      <c r="G63" s="20" t="n">
        <v>0</v>
      </c>
      <c r="H63" s="20" t="n">
        <v>0</v>
      </c>
      <c r="I63" s="20" t="n">
        <v>0</v>
      </c>
      <c r="J63" s="20" t="n">
        <v>0</v>
      </c>
      <c r="K63" s="20" t="n">
        <v>0</v>
      </c>
      <c r="L63" s="20" t="n">
        <v>0</v>
      </c>
      <c r="M63" s="20" t="n">
        <v>0</v>
      </c>
      <c r="N63" s="20" t="n">
        <v>0</v>
      </c>
      <c r="O63" s="20" t="n">
        <v>0</v>
      </c>
      <c r="P63" s="20" t="n">
        <v>0</v>
      </c>
      <c r="Q63" s="20" t="n">
        <v>0</v>
      </c>
      <c r="R63" s="20" t="n">
        <v>0</v>
      </c>
      <c r="S63" s="20" t="n">
        <v>0</v>
      </c>
      <c r="T63" s="20" t="n">
        <v>0</v>
      </c>
      <c r="U63" s="20" t="n">
        <v>0</v>
      </c>
      <c r="V63" s="20" t="n">
        <v>0</v>
      </c>
      <c r="W63" s="20" t="n">
        <v>0</v>
      </c>
      <c r="X63" s="20" t="n">
        <v>0</v>
      </c>
      <c r="Y63" s="20" t="n">
        <v>1</v>
      </c>
      <c r="Z63" s="20" t="n">
        <v>0</v>
      </c>
      <c r="AA63" s="20" t="n">
        <v>0</v>
      </c>
      <c r="AB63" s="20" t="n">
        <v>0</v>
      </c>
      <c r="AD63" s="20" t="n">
        <v>0</v>
      </c>
      <c r="AE63" s="20" t="n">
        <v>1</v>
      </c>
      <c r="AF63" s="20" t="n">
        <v>0</v>
      </c>
      <c r="AG63" s="20" t="n">
        <v>0</v>
      </c>
    </row>
    <row r="64">
      <c r="A64" s="7" t="str">
        <f>Secenekler!A64</f>
        <v>ajan-gozlem-paneli-c</v>
      </c>
      <c r="B64" s="7" t="str">
        <f>Secenekler!C64</f>
        <v>Yapay zekâ iş izleme kartı kurulum paketi</v>
      </c>
      <c r="C64" s="20" t="n">
        <v>0</v>
      </c>
      <c r="D64" s="20" t="n">
        <v>0</v>
      </c>
      <c r="E64" s="20" t="n">
        <v>0</v>
      </c>
      <c r="F64" s="20" t="n">
        <v>0</v>
      </c>
      <c r="G64" s="20" t="n">
        <v>0</v>
      </c>
      <c r="H64" s="20" t="n">
        <v>0</v>
      </c>
      <c r="I64" s="20" t="n">
        <v>0</v>
      </c>
      <c r="J64" s="20" t="n">
        <v>0</v>
      </c>
      <c r="K64" s="20" t="n">
        <v>0</v>
      </c>
      <c r="L64" s="20" t="n">
        <v>0</v>
      </c>
      <c r="M64" s="20" t="n">
        <v>0</v>
      </c>
      <c r="N64" s="20" t="n">
        <v>0</v>
      </c>
      <c r="O64" s="20" t="n">
        <v>0</v>
      </c>
      <c r="P64" s="20" t="n">
        <v>0</v>
      </c>
      <c r="Q64" s="20" t="n">
        <v>0</v>
      </c>
      <c r="R64" s="20" t="n">
        <v>0</v>
      </c>
      <c r="S64" s="20" t="n">
        <v>0</v>
      </c>
      <c r="T64" s="20" t="n">
        <v>0</v>
      </c>
      <c r="U64" s="20" t="n">
        <v>0</v>
      </c>
      <c r="V64" s="20" t="n">
        <v>0</v>
      </c>
      <c r="W64" s="20" t="n">
        <v>0</v>
      </c>
      <c r="X64" s="20" t="n">
        <v>0</v>
      </c>
      <c r="Y64" s="20" t="n">
        <v>0</v>
      </c>
      <c r="Z64" s="20" t="n">
        <v>0</v>
      </c>
      <c r="AA64" s="20" t="n">
        <v>0</v>
      </c>
      <c r="AB64" s="20" t="n">
        <v>0</v>
      </c>
      <c r="AD64" s="20" t="n">
        <v>0</v>
      </c>
      <c r="AE64" s="20" t="n">
        <v>0</v>
      </c>
      <c r="AF64" s="20" t="n">
        <v>0</v>
      </c>
      <c r="AG64" s="20" t="n">
        <v>0</v>
      </c>
    </row>
    <row r="65">
      <c r="A65" s="7" t="str">
        <f>Secenekler!A65</f>
        <v>ai-first-tasarim-a</v>
      </c>
      <c r="B65" s="7" t="str">
        <f>Secenekler!C65</f>
        <v>Türkçe yapay zekâ öncelikli tasarım sistemi rehberi (e-kitap)</v>
      </c>
      <c r="C65" s="20" t="n">
        <v>0</v>
      </c>
      <c r="D65" s="20" t="n">
        <v>0</v>
      </c>
      <c r="E65" s="20" t="n">
        <v>1</v>
      </c>
      <c r="F65" s="20" t="n">
        <v>1</v>
      </c>
      <c r="G65" s="20" t="n">
        <v>0</v>
      </c>
      <c r="H65" s="20" t="n">
        <v>1</v>
      </c>
      <c r="I65" s="20" t="n">
        <v>1</v>
      </c>
      <c r="J65" s="20" t="n">
        <v>0</v>
      </c>
      <c r="K65" s="20" t="n">
        <v>0</v>
      </c>
      <c r="L65" s="20" t="n">
        <v>0</v>
      </c>
      <c r="M65" s="20" t="n">
        <v>0</v>
      </c>
      <c r="N65" s="20" t="n">
        <v>0</v>
      </c>
      <c r="O65" s="20" t="n">
        <v>0</v>
      </c>
      <c r="P65" s="20" t="n">
        <v>0</v>
      </c>
      <c r="Q65" s="20" t="n">
        <v>0</v>
      </c>
      <c r="R65" s="20" t="n">
        <v>0</v>
      </c>
      <c r="S65" s="20" t="n">
        <v>0</v>
      </c>
      <c r="T65" s="20" t="n">
        <v>0</v>
      </c>
      <c r="U65" s="20" t="n">
        <v>1</v>
      </c>
      <c r="V65" s="20" t="n">
        <v>0</v>
      </c>
      <c r="W65" s="20" t="n">
        <v>0</v>
      </c>
      <c r="X65" s="20" t="n">
        <v>0</v>
      </c>
      <c r="Y65" s="20" t="n">
        <v>1</v>
      </c>
      <c r="Z65" s="20" t="n">
        <v>0</v>
      </c>
      <c r="AA65" s="20" t="n">
        <v>0</v>
      </c>
      <c r="AB65" s="20" t="n">
        <v>0</v>
      </c>
      <c r="AD65" s="20" t="n">
        <v>1</v>
      </c>
      <c r="AE65" s="20" t="n">
        <v>0</v>
      </c>
      <c r="AF65" s="20" t="n">
        <v>0</v>
      </c>
      <c r="AG65" s="20" t="n">
        <v>0</v>
      </c>
    </row>
    <row r="66">
      <c r="A66" s="7" t="str">
        <f>Secenekler!A66</f>
        <v>ai-first-tasarim-b</v>
      </c>
      <c r="B66" s="7" t="str">
        <f>Secenekler!C66</f>
        <v>Ekip atölyesi ve 2 haftalık tasarım sistemi kurulumu</v>
      </c>
      <c r="C66" s="20" t="n">
        <v>0</v>
      </c>
      <c r="D66" s="20" t="n">
        <v>0</v>
      </c>
      <c r="E66" s="20" t="n">
        <v>0</v>
      </c>
      <c r="F66" s="20" t="n">
        <v>0</v>
      </c>
      <c r="G66" s="20" t="n">
        <v>0</v>
      </c>
      <c r="H66" s="20" t="n">
        <v>0</v>
      </c>
      <c r="I66" s="20" t="n">
        <v>1</v>
      </c>
      <c r="J66" s="20" t="n">
        <v>0</v>
      </c>
      <c r="K66" s="20" t="n">
        <v>0</v>
      </c>
      <c r="L66" s="20" t="n">
        <v>0</v>
      </c>
      <c r="M66" s="20" t="n">
        <v>0</v>
      </c>
      <c r="N66" s="20" t="n">
        <v>0</v>
      </c>
      <c r="O66" s="20" t="n">
        <v>0</v>
      </c>
      <c r="P66" s="20" t="n">
        <v>0</v>
      </c>
      <c r="Q66" s="20" t="n">
        <v>0</v>
      </c>
      <c r="R66" s="20" t="n">
        <v>0</v>
      </c>
      <c r="S66" s="20" t="n">
        <v>0</v>
      </c>
      <c r="T66" s="20" t="n">
        <v>0</v>
      </c>
      <c r="U66" s="20" t="n">
        <v>1</v>
      </c>
      <c r="V66" s="20" t="n">
        <v>0</v>
      </c>
      <c r="W66" s="20" t="n">
        <v>0</v>
      </c>
      <c r="X66" s="20" t="n">
        <v>0</v>
      </c>
      <c r="Y66" s="20" t="n">
        <v>0</v>
      </c>
      <c r="Z66" s="20" t="n">
        <v>0</v>
      </c>
      <c r="AA66" s="20" t="n">
        <v>0</v>
      </c>
      <c r="AB66" s="20" t="n">
        <v>0</v>
      </c>
      <c r="AD66" s="20" t="n">
        <v>1</v>
      </c>
      <c r="AE66" s="20" t="n">
        <v>0</v>
      </c>
      <c r="AF66" s="20" t="n">
        <v>0</v>
      </c>
      <c r="AG66" s="20" t="n">
        <v>0</v>
      </c>
    </row>
    <row r="67">
      <c r="A67" s="7" t="str">
        <f>Secenekler!A67</f>
        <v>ai-first-tasarim-c</v>
      </c>
      <c r="B67" s="7" t="str">
        <f>Secenekler!C67</f>
        <v>Ajansa sabit fiyatlı form ve tablo kabul dosyası paketi</v>
      </c>
      <c r="C67" s="20" t="n">
        <v>0</v>
      </c>
      <c r="D67" s="20" t="n">
        <v>0</v>
      </c>
      <c r="E67" s="20" t="n">
        <v>0</v>
      </c>
      <c r="F67" s="20" t="n">
        <v>0</v>
      </c>
      <c r="G67" s="20" t="n">
        <v>0</v>
      </c>
      <c r="H67" s="20" t="n">
        <v>0</v>
      </c>
      <c r="I67" s="20" t="n">
        <v>0</v>
      </c>
      <c r="J67" s="20" t="n">
        <v>0</v>
      </c>
      <c r="K67" s="20" t="n">
        <v>0</v>
      </c>
      <c r="L67" s="20" t="n">
        <v>0</v>
      </c>
      <c r="M67" s="20" t="n">
        <v>0</v>
      </c>
      <c r="N67" s="20" t="n">
        <v>0</v>
      </c>
      <c r="O67" s="20" t="n">
        <v>0</v>
      </c>
      <c r="P67" s="20" t="n">
        <v>0</v>
      </c>
      <c r="Q67" s="20" t="n">
        <v>0</v>
      </c>
      <c r="R67" s="20" t="n">
        <v>0</v>
      </c>
      <c r="S67" s="20" t="n">
        <v>0</v>
      </c>
      <c r="T67" s="20" t="n">
        <v>0</v>
      </c>
      <c r="U67" s="20" t="n">
        <v>1</v>
      </c>
      <c r="V67" s="20" t="n">
        <v>0</v>
      </c>
      <c r="W67" s="20" t="n">
        <v>0</v>
      </c>
      <c r="X67" s="20" t="n">
        <v>0</v>
      </c>
      <c r="Y67" s="20" t="n">
        <v>0</v>
      </c>
      <c r="Z67" s="20" t="n">
        <v>0</v>
      </c>
      <c r="AA67" s="20" t="n">
        <v>0</v>
      </c>
      <c r="AB67" s="20" t="n">
        <v>0</v>
      </c>
      <c r="AD67" s="20" t="n">
        <v>0</v>
      </c>
      <c r="AE67" s="20" t="n">
        <v>0</v>
      </c>
      <c r="AF67" s="20" t="n">
        <v>0</v>
      </c>
      <c r="AG67" s="20" t="n">
        <v>0</v>
      </c>
    </row>
    <row r="68">
      <c r="A68" s="7" t="str">
        <f>Secenekler!A68</f>
        <v>aicommandcard-a</v>
      </c>
      <c r="B68" s="7" t="str">
        <f>Secenekler!C68</f>
        <v>QR menü ürününde AI asistan (₺999 plan katmanı)</v>
      </c>
      <c r="C68" s="20" t="n">
        <v>0</v>
      </c>
      <c r="D68" s="20" t="n">
        <v>0</v>
      </c>
      <c r="E68" s="20" t="n">
        <v>0</v>
      </c>
      <c r="F68" s="20" t="n">
        <v>1</v>
      </c>
      <c r="G68" s="20" t="n">
        <v>0</v>
      </c>
      <c r="H68" s="20" t="n">
        <v>0</v>
      </c>
      <c r="I68" s="20" t="n">
        <v>1</v>
      </c>
      <c r="J68" s="20" t="n">
        <v>0</v>
      </c>
      <c r="K68" s="20" t="n">
        <v>0</v>
      </c>
      <c r="L68" s="20" t="n">
        <v>0</v>
      </c>
      <c r="M68" s="20" t="n">
        <v>1</v>
      </c>
      <c r="N68" s="20" t="n">
        <v>1</v>
      </c>
      <c r="O68" s="20" t="n">
        <v>0</v>
      </c>
      <c r="P68" s="20" t="n">
        <v>0</v>
      </c>
      <c r="Q68" s="20" t="n">
        <v>0</v>
      </c>
      <c r="R68" s="20" t="n">
        <v>0</v>
      </c>
      <c r="S68" s="20" t="n">
        <v>1</v>
      </c>
      <c r="T68" s="20" t="n">
        <v>0</v>
      </c>
      <c r="U68" s="20" t="n">
        <v>0</v>
      </c>
      <c r="V68" s="20" t="n">
        <v>0</v>
      </c>
      <c r="W68" s="20" t="n">
        <v>0</v>
      </c>
      <c r="X68" s="20" t="n">
        <v>1</v>
      </c>
      <c r="Y68" s="20" t="n">
        <v>0</v>
      </c>
      <c r="Z68" s="20" t="n">
        <v>0</v>
      </c>
      <c r="AA68" s="20" t="n">
        <v>0</v>
      </c>
      <c r="AB68" s="20" t="n">
        <v>0</v>
      </c>
      <c r="AD68" s="20" t="n">
        <v>0</v>
      </c>
      <c r="AE68" s="20" t="n">
        <v>0</v>
      </c>
      <c r="AF68" s="20" t="n">
        <v>0</v>
      </c>
      <c r="AG68" s="20" t="n">
        <v>1</v>
      </c>
    </row>
    <row r="69">
      <c r="A69" s="7" t="str">
        <f>Secenekler!A69</f>
        <v>aicommandcard-b</v>
      </c>
      <c r="B69" s="7" t="str">
        <f>Secenekler!C69</f>
        <v>Sabit kapsamlı AiCommandCard entegrasyon paketi</v>
      </c>
      <c r="C69" s="20" t="n">
        <v>0</v>
      </c>
      <c r="D69" s="20" t="n">
        <v>0</v>
      </c>
      <c r="E69" s="20" t="n">
        <v>1</v>
      </c>
      <c r="F69" s="20" t="n">
        <v>1</v>
      </c>
      <c r="G69" s="20" t="n">
        <v>0</v>
      </c>
      <c r="H69" s="20" t="n">
        <v>0</v>
      </c>
      <c r="I69" s="20" t="n">
        <v>0</v>
      </c>
      <c r="J69" s="20" t="n">
        <v>1</v>
      </c>
      <c r="K69" s="20" t="n">
        <v>0</v>
      </c>
      <c r="L69" s="20" t="n">
        <v>0</v>
      </c>
      <c r="M69" s="20" t="n">
        <v>1</v>
      </c>
      <c r="N69" s="20" t="n">
        <v>1</v>
      </c>
      <c r="O69" s="20" t="n">
        <v>0</v>
      </c>
      <c r="P69" s="20" t="n">
        <v>1</v>
      </c>
      <c r="Q69" s="20" t="n">
        <v>0</v>
      </c>
      <c r="R69" s="20" t="n">
        <v>0</v>
      </c>
      <c r="S69" s="20" t="n">
        <v>0</v>
      </c>
      <c r="T69" s="20" t="n">
        <v>0</v>
      </c>
      <c r="U69" s="20" t="n">
        <v>0</v>
      </c>
      <c r="V69" s="20" t="n">
        <v>0</v>
      </c>
      <c r="W69" s="20" t="n">
        <v>0</v>
      </c>
      <c r="X69" s="20" t="n">
        <v>1</v>
      </c>
      <c r="Y69" s="20" t="n">
        <v>1</v>
      </c>
      <c r="Z69" s="20" t="n">
        <v>0</v>
      </c>
      <c r="AA69" s="20" t="n">
        <v>0</v>
      </c>
      <c r="AB69" s="20" t="n">
        <v>0</v>
      </c>
      <c r="AD69" s="20" t="n">
        <v>0</v>
      </c>
      <c r="AE69" s="20" t="n">
        <v>0</v>
      </c>
      <c r="AF69" s="20" t="n">
        <v>0</v>
      </c>
      <c r="AG69" s="20" t="n">
        <v>1</v>
      </c>
    </row>
    <row r="70">
      <c r="A70" s="7" t="str">
        <f>Secenekler!A70</f>
        <v>atonota-denetim-a</v>
      </c>
      <c r="B70" s="7" t="str">
        <f>Secenekler!C70</f>
        <v>Ücretsiz puan kartı eklentisi ve Pro yıllık lisans</v>
      </c>
      <c r="C70" s="20" t="n">
        <v>0</v>
      </c>
      <c r="D70" s="20" t="n">
        <v>0</v>
      </c>
      <c r="E70" s="20" t="n">
        <v>1</v>
      </c>
      <c r="F70" s="20" t="n">
        <v>1</v>
      </c>
      <c r="G70" s="20" t="n">
        <v>0</v>
      </c>
      <c r="H70" s="20" t="n">
        <v>0</v>
      </c>
      <c r="I70" s="20" t="n">
        <v>1</v>
      </c>
      <c r="J70" s="20" t="n">
        <v>1</v>
      </c>
      <c r="K70" s="20" t="n">
        <v>0</v>
      </c>
      <c r="L70" s="20" t="n">
        <v>0</v>
      </c>
      <c r="M70" s="20" t="n">
        <v>1</v>
      </c>
      <c r="N70" s="20" t="n">
        <v>0</v>
      </c>
      <c r="O70" s="20" t="n">
        <v>0</v>
      </c>
      <c r="P70" s="20" t="n">
        <v>1</v>
      </c>
      <c r="Q70" s="20" t="n">
        <v>0</v>
      </c>
      <c r="R70" s="20" t="n">
        <v>0</v>
      </c>
      <c r="S70" s="20" t="n">
        <v>0</v>
      </c>
      <c r="T70" s="20" t="n">
        <v>0</v>
      </c>
      <c r="U70" s="20" t="n">
        <v>1</v>
      </c>
      <c r="V70" s="20" t="n">
        <v>1</v>
      </c>
      <c r="W70" s="20" t="n">
        <v>0</v>
      </c>
      <c r="X70" s="20" t="n">
        <v>1</v>
      </c>
      <c r="Y70" s="20" t="n">
        <v>1</v>
      </c>
      <c r="Z70" s="20" t="n">
        <v>0</v>
      </c>
      <c r="AA70" s="20" t="n">
        <v>0</v>
      </c>
      <c r="AB70" s="20" t="n">
        <v>0</v>
      </c>
      <c r="AD70" s="20" t="n">
        <v>1</v>
      </c>
      <c r="AE70" s="20" t="n">
        <v>1</v>
      </c>
      <c r="AF70" s="20" t="n">
        <v>0</v>
      </c>
      <c r="AG70" s="20" t="n">
        <v>1</v>
      </c>
    </row>
    <row r="71">
      <c r="A71" s="7" t="str">
        <f>Secenekler!A71</f>
        <v>atonota-denetim-b</v>
      </c>
      <c r="B71" s="7" t="str">
        <f>Secenekler!C71</f>
        <v>Ajans lisansı: 25 site için aylık müşteri sağlık raporu</v>
      </c>
      <c r="C71" s="20" t="n">
        <v>0</v>
      </c>
      <c r="D71" s="20" t="n">
        <v>0</v>
      </c>
      <c r="E71" s="20" t="n">
        <v>1</v>
      </c>
      <c r="F71" s="20" t="n">
        <v>1</v>
      </c>
      <c r="G71" s="20" t="n">
        <v>0</v>
      </c>
      <c r="H71" s="20" t="n">
        <v>1</v>
      </c>
      <c r="I71" s="20" t="n">
        <v>0</v>
      </c>
      <c r="J71" s="20" t="n">
        <v>0</v>
      </c>
      <c r="K71" s="20" t="n">
        <v>0</v>
      </c>
      <c r="L71" s="20" t="n">
        <v>0</v>
      </c>
      <c r="M71" s="20" t="n">
        <v>1</v>
      </c>
      <c r="N71" s="20" t="n">
        <v>0</v>
      </c>
      <c r="O71" s="20" t="n">
        <v>0</v>
      </c>
      <c r="P71" s="20" t="n">
        <v>1</v>
      </c>
      <c r="Q71" s="20" t="n">
        <v>0</v>
      </c>
      <c r="R71" s="20" t="n">
        <v>0</v>
      </c>
      <c r="S71" s="20" t="n">
        <v>0</v>
      </c>
      <c r="T71" s="20" t="n">
        <v>0</v>
      </c>
      <c r="U71" s="20" t="n">
        <v>1</v>
      </c>
      <c r="V71" s="20" t="n">
        <v>0</v>
      </c>
      <c r="W71" s="20" t="n">
        <v>0</v>
      </c>
      <c r="X71" s="20" t="n">
        <v>1</v>
      </c>
      <c r="Y71" s="20" t="n">
        <v>1</v>
      </c>
      <c r="Z71" s="20" t="n">
        <v>0</v>
      </c>
      <c r="AA71" s="20" t="n">
        <v>0</v>
      </c>
      <c r="AB71" s="20" t="n">
        <v>0</v>
      </c>
      <c r="AD71" s="20" t="n">
        <v>1</v>
      </c>
      <c r="AE71" s="20" t="n">
        <v>1</v>
      </c>
      <c r="AF71" s="20" t="n">
        <v>0</v>
      </c>
      <c r="AG71" s="20" t="n">
        <v>0</v>
      </c>
    </row>
    <row r="72">
      <c r="A72" s="7" t="str">
        <f>Secenekler!A72</f>
        <v>atonota-denetim-c</v>
      </c>
      <c r="B72" s="7" t="str">
        <f>Secenekler!C72</f>
        <v>Ajans için müşteri kabul ve teslim kaydı hizmeti (pilot)</v>
      </c>
      <c r="C72" s="20" t="n">
        <v>0</v>
      </c>
      <c r="D72" s="20" t="n">
        <v>0</v>
      </c>
      <c r="E72" s="20" t="n">
        <v>0</v>
      </c>
      <c r="F72" s="20" t="n">
        <v>0</v>
      </c>
      <c r="G72" s="20" t="n">
        <v>0</v>
      </c>
      <c r="H72" s="20" t="n">
        <v>0</v>
      </c>
      <c r="I72" s="20" t="n">
        <v>0</v>
      </c>
      <c r="J72" s="20" t="n">
        <v>0</v>
      </c>
      <c r="K72" s="20" t="n">
        <v>0</v>
      </c>
      <c r="L72" s="20" t="n">
        <v>0</v>
      </c>
      <c r="M72" s="20" t="n">
        <v>0</v>
      </c>
      <c r="N72" s="20" t="n">
        <v>0</v>
      </c>
      <c r="O72" s="20" t="n">
        <v>0</v>
      </c>
      <c r="P72" s="20" t="n">
        <v>0</v>
      </c>
      <c r="Q72" s="20" t="n">
        <v>0</v>
      </c>
      <c r="R72" s="20" t="n">
        <v>0</v>
      </c>
      <c r="S72" s="20" t="n">
        <v>0</v>
      </c>
      <c r="T72" s="20" t="n">
        <v>0</v>
      </c>
      <c r="U72" s="20" t="n">
        <v>0</v>
      </c>
      <c r="V72" s="20" t="n">
        <v>0</v>
      </c>
      <c r="W72" s="20" t="n">
        <v>0</v>
      </c>
      <c r="X72" s="20" t="n">
        <v>0</v>
      </c>
      <c r="Y72" s="20" t="n">
        <v>1</v>
      </c>
      <c r="Z72" s="20" t="n">
        <v>0</v>
      </c>
      <c r="AA72" s="20" t="n">
        <v>0</v>
      </c>
      <c r="AB72" s="20" t="n">
        <v>0</v>
      </c>
      <c r="AD72" s="20" t="n">
        <v>0</v>
      </c>
      <c r="AE72" s="20" t="n">
        <v>0</v>
      </c>
      <c r="AF72" s="20" t="n">
        <v>0</v>
      </c>
      <c r="AG72" s="20" t="n">
        <v>0</v>
      </c>
    </row>
    <row r="73">
      <c r="A73" s="7" t="str">
        <f>Secenekler!A73</f>
        <v>b2b-bilesenler-a</v>
      </c>
      <c r="B73" s="7" t="str">
        <f>Secenekler!C73</f>
        <v>Site paketine ek: ürün sayfası ve hareket blokları</v>
      </c>
      <c r="C73" s="20" t="n">
        <v>0</v>
      </c>
      <c r="D73" s="20" t="n">
        <v>0</v>
      </c>
      <c r="E73" s="20" t="n">
        <v>0</v>
      </c>
      <c r="F73" s="20" t="n">
        <v>0</v>
      </c>
      <c r="G73" s="20" t="n">
        <v>0</v>
      </c>
      <c r="H73" s="20" t="n">
        <v>0</v>
      </c>
      <c r="I73" s="20" t="n">
        <v>1</v>
      </c>
      <c r="J73" s="20" t="n">
        <v>0</v>
      </c>
      <c r="K73" s="20" t="n">
        <v>0</v>
      </c>
      <c r="L73" s="20" t="n">
        <v>0</v>
      </c>
      <c r="M73" s="20" t="n">
        <v>1</v>
      </c>
      <c r="N73" s="20" t="n">
        <v>0</v>
      </c>
      <c r="O73" s="20" t="n">
        <v>0</v>
      </c>
      <c r="P73" s="20" t="n">
        <v>0</v>
      </c>
      <c r="Q73" s="20" t="n">
        <v>0</v>
      </c>
      <c r="R73" s="20" t="n">
        <v>0</v>
      </c>
      <c r="S73" s="20" t="n">
        <v>0</v>
      </c>
      <c r="T73" s="20" t="n">
        <v>0</v>
      </c>
      <c r="U73" s="20" t="n">
        <v>1</v>
      </c>
      <c r="V73" s="20" t="n">
        <v>0</v>
      </c>
      <c r="W73" s="20" t="n">
        <v>0</v>
      </c>
      <c r="X73" s="20" t="n">
        <v>2</v>
      </c>
      <c r="Y73" s="20" t="n">
        <v>0</v>
      </c>
      <c r="Z73" s="20" t="n">
        <v>0</v>
      </c>
      <c r="AA73" s="20" t="n">
        <v>0</v>
      </c>
      <c r="AB73" s="20" t="n">
        <v>0</v>
      </c>
      <c r="AD73" s="20" t="n">
        <v>0</v>
      </c>
      <c r="AE73" s="20" t="n">
        <v>0</v>
      </c>
      <c r="AF73" s="20" t="n">
        <v>0</v>
      </c>
      <c r="AG73" s="20" t="n">
        <v>1</v>
      </c>
    </row>
    <row r="74">
      <c r="A74" s="7" t="str">
        <f>Secenekler!A74</f>
        <v>b2b-bilesenler-b</v>
      </c>
      <c r="B74" s="7" t="str">
        <f>Secenekler!C74</f>
        <v>Tek ürün, iki mobil alıcı görünümü (sabit paket)</v>
      </c>
      <c r="C74" s="20" t="n">
        <v>0</v>
      </c>
      <c r="D74" s="20" t="n">
        <v>0</v>
      </c>
      <c r="E74" s="20" t="n">
        <v>0</v>
      </c>
      <c r="F74" s="20" t="n">
        <v>0</v>
      </c>
      <c r="G74" s="20" t="n">
        <v>0</v>
      </c>
      <c r="H74" s="20" t="n">
        <v>0</v>
      </c>
      <c r="I74" s="20" t="n">
        <v>0</v>
      </c>
      <c r="J74" s="20" t="n">
        <v>0</v>
      </c>
      <c r="K74" s="20" t="n">
        <v>0</v>
      </c>
      <c r="L74" s="20" t="n">
        <v>0</v>
      </c>
      <c r="M74" s="20" t="n">
        <v>0</v>
      </c>
      <c r="N74" s="20" t="n">
        <v>0</v>
      </c>
      <c r="O74" s="20" t="n">
        <v>0</v>
      </c>
      <c r="P74" s="20" t="n">
        <v>0</v>
      </c>
      <c r="Q74" s="20" t="n">
        <v>0</v>
      </c>
      <c r="R74" s="20" t="n">
        <v>0</v>
      </c>
      <c r="S74" s="20" t="n">
        <v>0</v>
      </c>
      <c r="T74" s="20" t="n">
        <v>0</v>
      </c>
      <c r="U74" s="20" t="n">
        <v>1</v>
      </c>
      <c r="V74" s="20" t="n">
        <v>0</v>
      </c>
      <c r="W74" s="20" t="n">
        <v>0</v>
      </c>
      <c r="X74" s="20" t="n">
        <v>1</v>
      </c>
      <c r="Y74" s="20" t="n">
        <v>0</v>
      </c>
      <c r="Z74" s="20" t="n">
        <v>0</v>
      </c>
      <c r="AA74" s="20" t="n">
        <v>0</v>
      </c>
      <c r="AB74" s="20" t="n">
        <v>0</v>
      </c>
      <c r="AD74" s="20" t="n">
        <v>0</v>
      </c>
      <c r="AE74" s="20" t="n">
        <v>0</v>
      </c>
      <c r="AF74" s="20" t="n">
        <v>0</v>
      </c>
      <c r="AG74" s="20" t="n">
        <v>0</v>
      </c>
    </row>
    <row r="75">
      <c r="A75" s="7" t="str">
        <f>Secenekler!A75</f>
        <v>b2b-bilesenler-c</v>
      </c>
      <c r="B75" s="7" t="str">
        <f>Secenekler!C75</f>
        <v>Astro ve Tailwind ürün sayfası şablonu (kod satışı)</v>
      </c>
      <c r="C75" s="20" t="n">
        <v>0</v>
      </c>
      <c r="D75" s="20" t="n">
        <v>0</v>
      </c>
      <c r="E75" s="20" t="n">
        <v>1</v>
      </c>
      <c r="F75" s="20" t="n">
        <v>1</v>
      </c>
      <c r="G75" s="20" t="n">
        <v>0</v>
      </c>
      <c r="H75" s="20" t="n">
        <v>1</v>
      </c>
      <c r="I75" s="20" t="n">
        <v>0</v>
      </c>
      <c r="J75" s="20" t="n">
        <v>1</v>
      </c>
      <c r="K75" s="20" t="n">
        <v>1</v>
      </c>
      <c r="L75" s="20" t="n">
        <v>0</v>
      </c>
      <c r="M75" s="20" t="n">
        <v>0</v>
      </c>
      <c r="N75" s="20" t="n">
        <v>0</v>
      </c>
      <c r="O75" s="20" t="n">
        <v>0</v>
      </c>
      <c r="P75" s="20" t="n">
        <v>0</v>
      </c>
      <c r="Q75" s="20" t="n">
        <v>0</v>
      </c>
      <c r="R75" s="20" t="n">
        <v>0</v>
      </c>
      <c r="S75" s="20" t="n">
        <v>0</v>
      </c>
      <c r="T75" s="20" t="n">
        <v>0</v>
      </c>
      <c r="U75" s="20" t="n">
        <v>1</v>
      </c>
      <c r="V75" s="20" t="n">
        <v>1</v>
      </c>
      <c r="W75" s="20" t="n">
        <v>0</v>
      </c>
      <c r="X75" s="20" t="n">
        <v>1</v>
      </c>
      <c r="Y75" s="20" t="n">
        <v>1</v>
      </c>
      <c r="Z75" s="20" t="n">
        <v>0</v>
      </c>
      <c r="AA75" s="20" t="n">
        <v>0</v>
      </c>
      <c r="AB75" s="20" t="n">
        <v>0</v>
      </c>
      <c r="AD75" s="20" t="n">
        <v>1</v>
      </c>
      <c r="AE75" s="20" t="n">
        <v>1</v>
      </c>
      <c r="AF75" s="20" t="n">
        <v>0</v>
      </c>
      <c r="AG75" s="20" t="n">
        <v>0</v>
      </c>
    </row>
    <row r="76">
      <c r="A76" s="7" t="str">
        <f>Secenekler!A76</f>
        <v>banner-post-a</v>
      </c>
      <c r="B76" s="7" t="str">
        <f>Secenekler!C76</f>
        <v>Zabuno içinde kampanya görseli modülü</v>
      </c>
      <c r="C76" s="20" t="n">
        <v>0</v>
      </c>
      <c r="D76" s="20" t="n">
        <v>0</v>
      </c>
      <c r="E76" s="20" t="n">
        <v>0</v>
      </c>
      <c r="F76" s="20" t="n">
        <v>0</v>
      </c>
      <c r="G76" s="20" t="n">
        <v>0</v>
      </c>
      <c r="H76" s="20" t="n">
        <v>0</v>
      </c>
      <c r="I76" s="20" t="n">
        <v>1</v>
      </c>
      <c r="J76" s="20" t="n">
        <v>0</v>
      </c>
      <c r="K76" s="20" t="n">
        <v>0</v>
      </c>
      <c r="L76" s="20" t="n">
        <v>0</v>
      </c>
      <c r="M76" s="20" t="n">
        <v>0</v>
      </c>
      <c r="N76" s="20" t="n">
        <v>0</v>
      </c>
      <c r="O76" s="20" t="n">
        <v>0</v>
      </c>
      <c r="P76" s="20" t="n">
        <v>0</v>
      </c>
      <c r="Q76" s="20" t="n">
        <v>0</v>
      </c>
      <c r="R76" s="20" t="n">
        <v>0</v>
      </c>
      <c r="S76" s="20" t="n">
        <v>1</v>
      </c>
      <c r="T76" s="20" t="n">
        <v>0</v>
      </c>
      <c r="U76" s="20" t="n">
        <v>1</v>
      </c>
      <c r="V76" s="20" t="n">
        <v>0</v>
      </c>
      <c r="W76" s="20" t="n">
        <v>1</v>
      </c>
      <c r="X76" s="20" t="n">
        <v>1</v>
      </c>
      <c r="Y76" s="20" t="n">
        <v>1</v>
      </c>
      <c r="Z76" s="20" t="n">
        <v>0</v>
      </c>
      <c r="AA76" s="20" t="n">
        <v>1</v>
      </c>
      <c r="AB76" s="20" t="n">
        <v>0</v>
      </c>
      <c r="AD76" s="20" t="n">
        <v>0</v>
      </c>
      <c r="AE76" s="20" t="n">
        <v>1</v>
      </c>
      <c r="AF76" s="20" t="n">
        <v>0</v>
      </c>
      <c r="AG76" s="20" t="n">
        <v>0</v>
      </c>
    </row>
    <row r="77">
      <c r="A77" s="7" t="str">
        <f>Secenekler!A77</f>
        <v>banner-post-b</v>
      </c>
      <c r="B77" s="7" t="str">
        <f>Secenekler!C77</f>
        <v>Sosyal görsel hizmet paketi (sabit kapsam)</v>
      </c>
      <c r="C77" s="20" t="n">
        <v>0</v>
      </c>
      <c r="D77" s="20" t="n">
        <v>0</v>
      </c>
      <c r="E77" s="20" t="n">
        <v>0</v>
      </c>
      <c r="F77" s="20" t="n">
        <v>0</v>
      </c>
      <c r="G77" s="20" t="n">
        <v>0</v>
      </c>
      <c r="H77" s="20" t="n">
        <v>0</v>
      </c>
      <c r="I77" s="20" t="n">
        <v>1</v>
      </c>
      <c r="J77" s="20" t="n">
        <v>0</v>
      </c>
      <c r="K77" s="20" t="n">
        <v>0</v>
      </c>
      <c r="L77" s="20" t="n">
        <v>0</v>
      </c>
      <c r="M77" s="20" t="n">
        <v>0</v>
      </c>
      <c r="N77" s="20" t="n">
        <v>0</v>
      </c>
      <c r="O77" s="20" t="n">
        <v>0</v>
      </c>
      <c r="P77" s="20" t="n">
        <v>1</v>
      </c>
      <c r="Q77" s="20" t="n">
        <v>0</v>
      </c>
      <c r="R77" s="20" t="n">
        <v>0</v>
      </c>
      <c r="S77" s="20" t="n">
        <v>0</v>
      </c>
      <c r="T77" s="20" t="n">
        <v>0</v>
      </c>
      <c r="U77" s="20" t="n">
        <v>1</v>
      </c>
      <c r="V77" s="20" t="n">
        <v>0</v>
      </c>
      <c r="W77" s="20" t="n">
        <v>0</v>
      </c>
      <c r="X77" s="20" t="n">
        <v>1</v>
      </c>
      <c r="Y77" s="20" t="n">
        <v>1</v>
      </c>
      <c r="Z77" s="20" t="n">
        <v>0</v>
      </c>
      <c r="AA77" s="20" t="n">
        <v>1</v>
      </c>
      <c r="AB77" s="20" t="n">
        <v>0</v>
      </c>
      <c r="AD77" s="20" t="n">
        <v>0</v>
      </c>
      <c r="AE77" s="20" t="n">
        <v>1</v>
      </c>
      <c r="AF77" s="20" t="n">
        <v>0</v>
      </c>
      <c r="AG77" s="20" t="n">
        <v>0</v>
      </c>
    </row>
    <row r="78">
      <c r="A78" s="7" t="str">
        <f>Secenekler!A78</f>
        <v>banner-post-c</v>
      </c>
      <c r="B78" s="7" t="str">
        <f>Secenekler!C78</f>
        <v>Ajanslara toplu banner paketi (CSV)</v>
      </c>
      <c r="C78" s="20" t="n">
        <v>0</v>
      </c>
      <c r="D78" s="20" t="n">
        <v>0</v>
      </c>
      <c r="E78" s="20" t="n">
        <v>0</v>
      </c>
      <c r="F78" s="20" t="n">
        <v>0</v>
      </c>
      <c r="G78" s="20" t="n">
        <v>0</v>
      </c>
      <c r="H78" s="20" t="n">
        <v>0</v>
      </c>
      <c r="I78" s="20" t="n">
        <v>0</v>
      </c>
      <c r="J78" s="20" t="n">
        <v>1</v>
      </c>
      <c r="K78" s="20" t="n">
        <v>0</v>
      </c>
      <c r="L78" s="20" t="n">
        <v>0</v>
      </c>
      <c r="M78" s="20" t="n">
        <v>0</v>
      </c>
      <c r="N78" s="20" t="n">
        <v>0</v>
      </c>
      <c r="O78" s="20" t="n">
        <v>0</v>
      </c>
      <c r="P78" s="20" t="n">
        <v>0</v>
      </c>
      <c r="Q78" s="20" t="n">
        <v>0</v>
      </c>
      <c r="R78" s="20" t="n">
        <v>0</v>
      </c>
      <c r="S78" s="20" t="n">
        <v>0</v>
      </c>
      <c r="T78" s="20" t="n">
        <v>0</v>
      </c>
      <c r="U78" s="20" t="n">
        <v>1</v>
      </c>
      <c r="V78" s="20" t="n">
        <v>0</v>
      </c>
      <c r="W78" s="20" t="n">
        <v>0</v>
      </c>
      <c r="X78" s="20" t="n">
        <v>0</v>
      </c>
      <c r="Y78" s="20" t="n">
        <v>1</v>
      </c>
      <c r="Z78" s="20" t="n">
        <v>0</v>
      </c>
      <c r="AA78" s="20" t="n">
        <v>0</v>
      </c>
      <c r="AB78" s="20" t="n">
        <v>0</v>
      </c>
      <c r="AD78" s="20" t="n">
        <v>0</v>
      </c>
      <c r="AE78" s="20" t="n">
        <v>0</v>
      </c>
      <c r="AF78" s="20" t="n">
        <v>0</v>
      </c>
      <c r="AG78" s="20" t="n">
        <v>0</v>
      </c>
    </row>
    <row r="79">
      <c r="A79" s="7" t="str">
        <f>Secenekler!A79</f>
        <v>karar-sihirbazi-a</v>
      </c>
      <c r="B79" s="7" t="str">
        <f>Secenekler!C79</f>
        <v>Ajanslara white-label keşif sihirbazı aboneliği</v>
      </c>
      <c r="C79" s="20" t="n">
        <v>0</v>
      </c>
      <c r="D79" s="20" t="n">
        <v>0</v>
      </c>
      <c r="E79" s="20" t="n">
        <v>1</v>
      </c>
      <c r="F79" s="20" t="n">
        <v>1</v>
      </c>
      <c r="G79" s="20" t="n">
        <v>0</v>
      </c>
      <c r="H79" s="20" t="n">
        <v>1</v>
      </c>
      <c r="I79" s="20" t="n">
        <v>1</v>
      </c>
      <c r="J79" s="20" t="n">
        <v>0</v>
      </c>
      <c r="K79" s="20" t="n">
        <v>0</v>
      </c>
      <c r="L79" s="20" t="n">
        <v>0</v>
      </c>
      <c r="M79" s="20" t="n">
        <v>0</v>
      </c>
      <c r="N79" s="20" t="n">
        <v>0</v>
      </c>
      <c r="O79" s="20" t="n">
        <v>1</v>
      </c>
      <c r="P79" s="20" t="n">
        <v>1</v>
      </c>
      <c r="Q79" s="20" t="n">
        <v>0</v>
      </c>
      <c r="R79" s="20" t="n">
        <v>0</v>
      </c>
      <c r="S79" s="20" t="n">
        <v>0</v>
      </c>
      <c r="T79" s="20" t="n">
        <v>0</v>
      </c>
      <c r="U79" s="20" t="n">
        <v>1</v>
      </c>
      <c r="V79" s="20" t="n">
        <v>0</v>
      </c>
      <c r="W79" s="20" t="n">
        <v>0</v>
      </c>
      <c r="X79" s="20" t="n">
        <v>1</v>
      </c>
      <c r="Y79" s="20" t="n">
        <v>1</v>
      </c>
      <c r="Z79" s="20" t="n">
        <v>0</v>
      </c>
      <c r="AA79" s="20" t="n">
        <v>0</v>
      </c>
      <c r="AB79" s="20" t="n">
        <v>0</v>
      </c>
      <c r="AD79" s="20" t="n">
        <v>0</v>
      </c>
      <c r="AE79" s="20" t="n">
        <v>1</v>
      </c>
      <c r="AF79" s="20" t="n">
        <v>0</v>
      </c>
      <c r="AG79" s="20" t="n">
        <v>0</v>
      </c>
    </row>
    <row r="80">
      <c r="A80" s="7" t="str">
        <f>Secenekler!A80</f>
        <v>karar-sihirbazi-b</v>
      </c>
      <c r="B80" s="7" t="str">
        <f>Secenekler!C80</f>
        <v>Proje başı stack karar dosyası (sabit kapsamlı hizmet)</v>
      </c>
      <c r="C80" s="20" t="n">
        <v>0</v>
      </c>
      <c r="D80" s="20" t="n">
        <v>0</v>
      </c>
      <c r="E80" s="20" t="n">
        <v>0</v>
      </c>
      <c r="F80" s="20" t="n">
        <v>1</v>
      </c>
      <c r="G80" s="20" t="n">
        <v>0</v>
      </c>
      <c r="H80" s="20" t="n">
        <v>0</v>
      </c>
      <c r="I80" s="20" t="n">
        <v>1</v>
      </c>
      <c r="J80" s="20" t="n">
        <v>0</v>
      </c>
      <c r="K80" s="20" t="n">
        <v>0</v>
      </c>
      <c r="L80" s="20" t="n">
        <v>0</v>
      </c>
      <c r="M80" s="20" t="n">
        <v>0</v>
      </c>
      <c r="N80" s="20" t="n">
        <v>0</v>
      </c>
      <c r="O80" s="20" t="n">
        <v>0</v>
      </c>
      <c r="P80" s="20" t="n">
        <v>1</v>
      </c>
      <c r="Q80" s="20" t="n">
        <v>0</v>
      </c>
      <c r="R80" s="20" t="n">
        <v>0</v>
      </c>
      <c r="S80" s="20" t="n">
        <v>0</v>
      </c>
      <c r="T80" s="20" t="n">
        <v>0</v>
      </c>
      <c r="U80" s="20" t="n">
        <v>1</v>
      </c>
      <c r="V80" s="20" t="n">
        <v>0</v>
      </c>
      <c r="W80" s="20" t="n">
        <v>0</v>
      </c>
      <c r="X80" s="20" t="n">
        <v>1</v>
      </c>
      <c r="Y80" s="20" t="n">
        <v>1</v>
      </c>
      <c r="Z80" s="20" t="n">
        <v>0</v>
      </c>
      <c r="AA80" s="20" t="n">
        <v>0</v>
      </c>
      <c r="AB80" s="20" t="n">
        <v>0</v>
      </c>
      <c r="AD80" s="20" t="n">
        <v>0</v>
      </c>
      <c r="AE80" s="20" t="n">
        <v>0</v>
      </c>
      <c r="AF80" s="20" t="n">
        <v>0</v>
      </c>
      <c r="AG80" s="20" t="n">
        <v>0</v>
      </c>
    </row>
    <row r="81">
      <c r="A81" s="7" t="str">
        <f>Secenekler!A81</f>
        <v>karar-sihirbazi-c</v>
      </c>
      <c r="B81" s="7" t="str">
        <f>Secenekler!C81</f>
        <v>Ajans için uyarlanmış keşif formu kiti (tek seferlik)</v>
      </c>
      <c r="C81" s="20" t="n">
        <v>0</v>
      </c>
      <c r="D81" s="20" t="n">
        <v>0</v>
      </c>
      <c r="E81" s="20" t="n">
        <v>1</v>
      </c>
      <c r="F81" s="20" t="n">
        <v>1</v>
      </c>
      <c r="G81" s="20" t="n">
        <v>0</v>
      </c>
      <c r="H81" s="20" t="n">
        <v>0</v>
      </c>
      <c r="I81" s="20" t="n">
        <v>1</v>
      </c>
      <c r="J81" s="20" t="n">
        <v>0</v>
      </c>
      <c r="K81" s="20" t="n">
        <v>0</v>
      </c>
      <c r="L81" s="20" t="n">
        <v>0</v>
      </c>
      <c r="M81" s="20" t="n">
        <v>0</v>
      </c>
      <c r="N81" s="20" t="n">
        <v>0</v>
      </c>
      <c r="O81" s="20" t="n">
        <v>0</v>
      </c>
      <c r="P81" s="20" t="n">
        <v>1</v>
      </c>
      <c r="Q81" s="20" t="n">
        <v>0</v>
      </c>
      <c r="R81" s="20" t="n">
        <v>0</v>
      </c>
      <c r="S81" s="20" t="n">
        <v>0</v>
      </c>
      <c r="T81" s="20" t="n">
        <v>0</v>
      </c>
      <c r="U81" s="20" t="n">
        <v>1</v>
      </c>
      <c r="V81" s="20" t="n">
        <v>0</v>
      </c>
      <c r="W81" s="20" t="n">
        <v>0</v>
      </c>
      <c r="X81" s="20" t="n">
        <v>1</v>
      </c>
      <c r="Y81" s="20" t="n">
        <v>1</v>
      </c>
      <c r="Z81" s="20" t="n">
        <v>0</v>
      </c>
      <c r="AA81" s="20" t="n">
        <v>0</v>
      </c>
      <c r="AB81" s="20" t="n">
        <v>0</v>
      </c>
      <c r="AD81" s="20" t="n">
        <v>0</v>
      </c>
      <c r="AE81" s="20" t="n">
        <v>1</v>
      </c>
      <c r="AF81" s="20" t="n">
        <v>0</v>
      </c>
      <c r="AG81" s="20" t="n">
        <v>0</v>
      </c>
    </row>
    <row r="82">
      <c r="A82" s="7" t="str">
        <f>Secenekler!A82</f>
        <v>sunum-bi-hizmeti-a</v>
      </c>
      <c r="B82" s="7" t="str">
        <f>Secenekler!C82</f>
        <v>Katalogdan toplu markalı sunum seti (sabit paket)</v>
      </c>
      <c r="C82" s="20" t="n">
        <v>0</v>
      </c>
      <c r="D82" s="20" t="n">
        <v>0</v>
      </c>
      <c r="E82" s="20" t="n">
        <v>0</v>
      </c>
      <c r="F82" s="20" t="n">
        <v>1</v>
      </c>
      <c r="G82" s="20" t="n">
        <v>0</v>
      </c>
      <c r="H82" s="20" t="n">
        <v>0</v>
      </c>
      <c r="I82" s="20" t="n">
        <v>1</v>
      </c>
      <c r="J82" s="20" t="n">
        <v>0</v>
      </c>
      <c r="K82" s="20" t="n">
        <v>0</v>
      </c>
      <c r="L82" s="20" t="n">
        <v>0</v>
      </c>
      <c r="M82" s="20" t="n">
        <v>0</v>
      </c>
      <c r="N82" s="20" t="n">
        <v>0</v>
      </c>
      <c r="O82" s="20" t="n">
        <v>0</v>
      </c>
      <c r="P82" s="20" t="n">
        <v>0</v>
      </c>
      <c r="Q82" s="20" t="n">
        <v>0</v>
      </c>
      <c r="R82" s="20" t="n">
        <v>0</v>
      </c>
      <c r="S82" s="20" t="n">
        <v>0</v>
      </c>
      <c r="T82" s="20" t="n">
        <v>0</v>
      </c>
      <c r="U82" s="20" t="n">
        <v>0</v>
      </c>
      <c r="V82" s="20" t="n">
        <v>0</v>
      </c>
      <c r="W82" s="20" t="n">
        <v>0</v>
      </c>
      <c r="X82" s="20" t="n">
        <v>1</v>
      </c>
      <c r="Y82" s="20" t="n">
        <v>1</v>
      </c>
      <c r="Z82" s="20" t="n">
        <v>0</v>
      </c>
      <c r="AA82" s="20" t="n">
        <v>0</v>
      </c>
      <c r="AB82" s="20" t="n">
        <v>0</v>
      </c>
      <c r="AD82" s="20" t="n">
        <v>0</v>
      </c>
      <c r="AE82" s="20" t="n">
        <v>1</v>
      </c>
      <c r="AF82" s="20" t="n">
        <v>0</v>
      </c>
      <c r="AG82" s="20" t="n">
        <v>0</v>
      </c>
    </row>
    <row r="83">
      <c r="A83" s="7" t="str">
        <f>Secenekler!A83</f>
        <v>sunum-bi-hizmeti-b</v>
      </c>
      <c r="B83" s="7" t="str">
        <f>Secenekler!C83</f>
        <v>Butik ajanslara çok markalı sunum üretim aboneliği</v>
      </c>
      <c r="C83" s="20" t="n">
        <v>0</v>
      </c>
      <c r="D83" s="20" t="n">
        <v>0</v>
      </c>
      <c r="E83" s="20" t="n">
        <v>0</v>
      </c>
      <c r="F83" s="20" t="n">
        <v>0</v>
      </c>
      <c r="G83" s="20" t="n">
        <v>0</v>
      </c>
      <c r="H83" s="20" t="n">
        <v>0</v>
      </c>
      <c r="I83" s="20" t="n">
        <v>0</v>
      </c>
      <c r="J83" s="20" t="n">
        <v>0</v>
      </c>
      <c r="K83" s="20" t="n">
        <v>0</v>
      </c>
      <c r="L83" s="20" t="n">
        <v>0</v>
      </c>
      <c r="M83" s="20" t="n">
        <v>0</v>
      </c>
      <c r="N83" s="20" t="n">
        <v>0</v>
      </c>
      <c r="O83" s="20" t="n">
        <v>0</v>
      </c>
      <c r="P83" s="20" t="n">
        <v>0</v>
      </c>
      <c r="Q83" s="20" t="n">
        <v>0</v>
      </c>
      <c r="R83" s="20" t="n">
        <v>0</v>
      </c>
      <c r="S83" s="20" t="n">
        <v>0</v>
      </c>
      <c r="T83" s="20" t="n">
        <v>0</v>
      </c>
      <c r="U83" s="20" t="n">
        <v>0</v>
      </c>
      <c r="V83" s="20" t="n">
        <v>0</v>
      </c>
      <c r="W83" s="20" t="n">
        <v>0</v>
      </c>
      <c r="X83" s="20" t="n">
        <v>0</v>
      </c>
      <c r="Y83" s="20" t="n">
        <v>1</v>
      </c>
      <c r="Z83" s="20" t="n">
        <v>0</v>
      </c>
      <c r="AA83" s="20" t="n">
        <v>0</v>
      </c>
      <c r="AB83" s="20" t="n">
        <v>0</v>
      </c>
      <c r="AD83" s="20" t="n">
        <v>0</v>
      </c>
      <c r="AE83" s="20" t="n">
        <v>0</v>
      </c>
      <c r="AF83" s="20" t="n">
        <v>0</v>
      </c>
      <c r="AG83" s="20" t="n">
        <v>0</v>
      </c>
    </row>
    <row r="84">
      <c r="A84" s="7" t="str">
        <f>Secenekler!A84</f>
        <v>sunum-bi-hizmeti-c</v>
      </c>
      <c r="B84" s="7" t="str">
        <f>Secenekler!C84</f>
        <v>Danışmana tek kaynaktan yönetici karar dosyası üretimi</v>
      </c>
      <c r="C84" s="20" t="n">
        <v>0</v>
      </c>
      <c r="D84" s="20" t="n">
        <v>0</v>
      </c>
      <c r="E84" s="20" t="n">
        <v>0</v>
      </c>
      <c r="F84" s="20" t="n">
        <v>0</v>
      </c>
      <c r="G84" s="20" t="n">
        <v>0</v>
      </c>
      <c r="H84" s="20" t="n">
        <v>0</v>
      </c>
      <c r="I84" s="20" t="n">
        <v>0</v>
      </c>
      <c r="J84" s="20" t="n">
        <v>0</v>
      </c>
      <c r="K84" s="20" t="n">
        <v>0</v>
      </c>
      <c r="L84" s="20" t="n">
        <v>0</v>
      </c>
      <c r="M84" s="20" t="n">
        <v>0</v>
      </c>
      <c r="N84" s="20" t="n">
        <v>0</v>
      </c>
      <c r="O84" s="20" t="n">
        <v>0</v>
      </c>
      <c r="P84" s="20" t="n">
        <v>0</v>
      </c>
      <c r="Q84" s="20" t="n">
        <v>0</v>
      </c>
      <c r="R84" s="20" t="n">
        <v>0</v>
      </c>
      <c r="S84" s="20" t="n">
        <v>0</v>
      </c>
      <c r="T84" s="20" t="n">
        <v>0</v>
      </c>
      <c r="U84" s="20" t="n">
        <v>0</v>
      </c>
      <c r="V84" s="20" t="n">
        <v>0</v>
      </c>
      <c r="W84" s="20" t="n">
        <v>0</v>
      </c>
      <c r="X84" s="20" t="n">
        <v>0</v>
      </c>
      <c r="Y84" s="20" t="n">
        <v>1</v>
      </c>
      <c r="Z84" s="20" t="n">
        <v>0</v>
      </c>
      <c r="AA84" s="20" t="n">
        <v>0</v>
      </c>
      <c r="AB84" s="20" t="n">
        <v>0</v>
      </c>
      <c r="AD84" s="20" t="n">
        <v>0</v>
      </c>
      <c r="AE84" s="20" t="n">
        <v>0</v>
      </c>
      <c r="AF84" s="20" t="n">
        <v>0</v>
      </c>
      <c r="AG84" s="20" t="n">
        <v>0</v>
      </c>
    </row>
    <row r="85">
      <c r="A85" s="7" t="str">
        <f>Secenekler!A85</f>
        <v>ik-paneli-hizmeti-a</v>
      </c>
      <c r="B85" s="7" t="str">
        <f>Secenekler!C85</f>
        <v>SaaS satış demosu 7 günde (sabit paket)</v>
      </c>
      <c r="C85" s="20" t="n">
        <v>0</v>
      </c>
      <c r="D85" s="20" t="n">
        <v>0</v>
      </c>
      <c r="E85" s="20" t="n">
        <v>1</v>
      </c>
      <c r="F85" s="20" t="n">
        <v>1</v>
      </c>
      <c r="G85" s="20" t="n">
        <v>0</v>
      </c>
      <c r="H85" s="20" t="n">
        <v>1</v>
      </c>
      <c r="I85" s="20" t="n">
        <v>1</v>
      </c>
      <c r="J85" s="20" t="n">
        <v>0</v>
      </c>
      <c r="K85" s="20" t="n">
        <v>0</v>
      </c>
      <c r="L85" s="20" t="n">
        <v>0</v>
      </c>
      <c r="M85" s="20" t="n">
        <v>0</v>
      </c>
      <c r="N85" s="20" t="n">
        <v>0</v>
      </c>
      <c r="O85" s="20" t="n">
        <v>0</v>
      </c>
      <c r="P85" s="20" t="n">
        <v>1</v>
      </c>
      <c r="Q85" s="20" t="n">
        <v>0</v>
      </c>
      <c r="R85" s="20" t="n">
        <v>0</v>
      </c>
      <c r="S85" s="20" t="n">
        <v>0</v>
      </c>
      <c r="T85" s="20" t="n">
        <v>1</v>
      </c>
      <c r="U85" s="20" t="n">
        <v>0</v>
      </c>
      <c r="V85" s="20" t="n">
        <v>0</v>
      </c>
      <c r="W85" s="20" t="n">
        <v>0</v>
      </c>
      <c r="X85" s="20" t="n">
        <v>1</v>
      </c>
      <c r="Y85" s="20" t="n">
        <v>1</v>
      </c>
      <c r="Z85" s="20" t="n">
        <v>0</v>
      </c>
      <c r="AA85" s="20" t="n">
        <v>0</v>
      </c>
      <c r="AB85" s="20" t="n">
        <v>0</v>
      </c>
      <c r="AD85" s="20" t="n">
        <v>0</v>
      </c>
      <c r="AE85" s="20" t="n">
        <v>0</v>
      </c>
      <c r="AF85" s="20" t="n">
        <v>0</v>
      </c>
      <c r="AG85" s="20" t="n">
        <v>0</v>
      </c>
    </row>
    <row r="86">
      <c r="A86" s="7" t="str">
        <f>Secenekler!A86</f>
        <v>ik-paneli-hizmeti-b</v>
      </c>
      <c r="B86" s="7" t="str">
        <f>Secenekler!C86</f>
        <v>Ajanslara beyaz etiket aylık demo paketi</v>
      </c>
      <c r="C86" s="20" t="n">
        <v>0</v>
      </c>
      <c r="D86" s="20" t="n">
        <v>0</v>
      </c>
      <c r="E86" s="20" t="n">
        <v>0</v>
      </c>
      <c r="F86" s="20" t="n">
        <v>0</v>
      </c>
      <c r="G86" s="20" t="n">
        <v>0</v>
      </c>
      <c r="H86" s="20" t="n">
        <v>0</v>
      </c>
      <c r="I86" s="20" t="n">
        <v>0</v>
      </c>
      <c r="J86" s="20" t="n">
        <v>0</v>
      </c>
      <c r="K86" s="20" t="n">
        <v>0</v>
      </c>
      <c r="L86" s="20" t="n">
        <v>0</v>
      </c>
      <c r="M86" s="20" t="n">
        <v>0</v>
      </c>
      <c r="N86" s="20" t="n">
        <v>0</v>
      </c>
      <c r="O86" s="20" t="n">
        <v>0</v>
      </c>
      <c r="P86" s="20" t="n">
        <v>0</v>
      </c>
      <c r="Q86" s="20" t="n">
        <v>0</v>
      </c>
      <c r="R86" s="20" t="n">
        <v>0</v>
      </c>
      <c r="S86" s="20" t="n">
        <v>0</v>
      </c>
      <c r="T86" s="20" t="n">
        <v>1</v>
      </c>
      <c r="U86" s="20" t="n">
        <v>0</v>
      </c>
      <c r="V86" s="20" t="n">
        <v>0</v>
      </c>
      <c r="W86" s="20" t="n">
        <v>0</v>
      </c>
      <c r="X86" s="20" t="n">
        <v>0</v>
      </c>
      <c r="Y86" s="20" t="n">
        <v>1</v>
      </c>
      <c r="Z86" s="20" t="n">
        <v>0</v>
      </c>
      <c r="AA86" s="20" t="n">
        <v>0</v>
      </c>
      <c r="AB86" s="20" t="n">
        <v>0</v>
      </c>
      <c r="AD86" s="20" t="n">
        <v>0</v>
      </c>
      <c r="AE86" s="20" t="n">
        <v>0</v>
      </c>
      <c r="AF86" s="20" t="n">
        <v>0</v>
      </c>
      <c r="AG86" s="20" t="n">
        <v>0</v>
      </c>
    </row>
    <row r="87">
      <c r="A87" s="7" t="str">
        <f>Secenekler!A87</f>
        <v>ik-paneli-hizmeti-c</v>
      </c>
      <c r="B87" s="7" t="str">
        <f>Secenekler!C87</f>
        <v>Puantaj mutabakatı kurulum ve dönem hizmeti</v>
      </c>
      <c r="C87" s="20" t="n">
        <v>0</v>
      </c>
      <c r="D87" s="20" t="n">
        <v>0</v>
      </c>
      <c r="E87" s="20" t="n">
        <v>0</v>
      </c>
      <c r="F87" s="20" t="n">
        <v>1</v>
      </c>
      <c r="G87" s="20" t="n">
        <v>0</v>
      </c>
      <c r="H87" s="20" t="n">
        <v>0</v>
      </c>
      <c r="I87" s="20" t="n">
        <v>0</v>
      </c>
      <c r="J87" s="20" t="n">
        <v>0</v>
      </c>
      <c r="K87" s="20" t="n">
        <v>0</v>
      </c>
      <c r="L87" s="20" t="n">
        <v>0</v>
      </c>
      <c r="M87" s="20" t="n">
        <v>0</v>
      </c>
      <c r="N87" s="20" t="n">
        <v>0</v>
      </c>
      <c r="O87" s="20" t="n">
        <v>0</v>
      </c>
      <c r="P87" s="20" t="n">
        <v>1</v>
      </c>
      <c r="Q87" s="20" t="n">
        <v>0</v>
      </c>
      <c r="R87" s="20" t="n">
        <v>0</v>
      </c>
      <c r="S87" s="20" t="n">
        <v>0</v>
      </c>
      <c r="T87" s="20" t="n">
        <v>0</v>
      </c>
      <c r="U87" s="20" t="n">
        <v>0</v>
      </c>
      <c r="V87" s="20" t="n">
        <v>0</v>
      </c>
      <c r="W87" s="20" t="n">
        <v>0</v>
      </c>
      <c r="X87" s="20" t="n">
        <v>0</v>
      </c>
      <c r="Y87" s="20" t="n">
        <v>1</v>
      </c>
      <c r="Z87" s="20" t="n">
        <v>0</v>
      </c>
      <c r="AA87" s="20" t="n">
        <v>0</v>
      </c>
      <c r="AB87" s="20" t="n">
        <v>0</v>
      </c>
      <c r="AD87" s="20" t="n">
        <v>0</v>
      </c>
      <c r="AE87" s="20" t="n">
        <v>0</v>
      </c>
      <c r="AF87" s="20" t="n">
        <v>0</v>
      </c>
      <c r="AG87" s="20" t="n">
        <v>0</v>
      </c>
    </row>
    <row r="88">
      <c r="A88" s="7" t="str">
        <f>Secenekler!A88</f>
        <v>ddd-renderer-a</v>
      </c>
      <c r="B88" s="7" t="str">
        <f>Secenekler!C88</f>
        <v>E-kitap eki: 3 mimari şablonlu paket (149 ₺)</v>
      </c>
      <c r="C88" s="20" t="n">
        <v>0</v>
      </c>
      <c r="D88" s="20" t="n">
        <v>0</v>
      </c>
      <c r="E88" s="20" t="n">
        <v>0</v>
      </c>
      <c r="F88" s="20" t="n">
        <v>1</v>
      </c>
      <c r="G88" s="20" t="n">
        <v>0</v>
      </c>
      <c r="H88" s="20" t="n">
        <v>0</v>
      </c>
      <c r="I88" s="20" t="n">
        <v>0</v>
      </c>
      <c r="J88" s="20" t="n">
        <v>0</v>
      </c>
      <c r="K88" s="20" t="n">
        <v>0</v>
      </c>
      <c r="L88" s="20" t="n">
        <v>0</v>
      </c>
      <c r="M88" s="20" t="n">
        <v>0</v>
      </c>
      <c r="N88" s="20" t="n">
        <v>0</v>
      </c>
      <c r="O88" s="20" t="n">
        <v>0</v>
      </c>
      <c r="P88" s="20" t="n">
        <v>0</v>
      </c>
      <c r="Q88" s="20" t="n">
        <v>0</v>
      </c>
      <c r="R88" s="20" t="n">
        <v>0</v>
      </c>
      <c r="S88" s="20" t="n">
        <v>0</v>
      </c>
      <c r="T88" s="20" t="n">
        <v>0</v>
      </c>
      <c r="U88" s="20" t="n">
        <v>0</v>
      </c>
      <c r="V88" s="20" t="n">
        <v>0</v>
      </c>
      <c r="W88" s="20" t="n">
        <v>0</v>
      </c>
      <c r="X88" s="20" t="n">
        <v>1</v>
      </c>
      <c r="Y88" s="20" t="n">
        <v>1</v>
      </c>
      <c r="Z88" s="20" t="n">
        <v>0</v>
      </c>
      <c r="AA88" s="20" t="n">
        <v>0</v>
      </c>
      <c r="AB88" s="20" t="n">
        <v>0</v>
      </c>
      <c r="AD88" s="20" t="n">
        <v>1</v>
      </c>
      <c r="AE88" s="20" t="n">
        <v>1</v>
      </c>
      <c r="AF88" s="20" t="n">
        <v>0</v>
      </c>
      <c r="AG88" s="20" t="n">
        <v>0</v>
      </c>
    </row>
    <row r="89">
      <c r="A89" s="7" t="str">
        <f>Secenekler!A89</f>
        <v>ddd-renderer-b</v>
      </c>
      <c r="B89" s="7" t="str">
        <f>Secenekler!C89</f>
        <v>Uluslararası şablon paketleri (29-79 $) açık çekirdekle</v>
      </c>
      <c r="C89" s="20" t="n">
        <v>0</v>
      </c>
      <c r="D89" s="20" t="n">
        <v>0</v>
      </c>
      <c r="E89" s="20" t="n">
        <v>1</v>
      </c>
      <c r="F89" s="20" t="n">
        <v>1</v>
      </c>
      <c r="G89" s="20" t="n">
        <v>0</v>
      </c>
      <c r="H89" s="20" t="n">
        <v>1</v>
      </c>
      <c r="I89" s="20" t="n">
        <v>0</v>
      </c>
      <c r="J89" s="20" t="n">
        <v>0</v>
      </c>
      <c r="K89" s="20" t="n">
        <v>0</v>
      </c>
      <c r="L89" s="20" t="n">
        <v>0</v>
      </c>
      <c r="M89" s="20" t="n">
        <v>0</v>
      </c>
      <c r="N89" s="20" t="n">
        <v>0</v>
      </c>
      <c r="O89" s="20" t="n">
        <v>0</v>
      </c>
      <c r="P89" s="20" t="n">
        <v>0</v>
      </c>
      <c r="Q89" s="20" t="n">
        <v>0</v>
      </c>
      <c r="R89" s="20" t="n">
        <v>0</v>
      </c>
      <c r="S89" s="20" t="n">
        <v>0</v>
      </c>
      <c r="T89" s="20" t="n">
        <v>0</v>
      </c>
      <c r="U89" s="20" t="n">
        <v>0</v>
      </c>
      <c r="V89" s="20" t="n">
        <v>0</v>
      </c>
      <c r="W89" s="20" t="n">
        <v>0</v>
      </c>
      <c r="X89" s="20" t="n">
        <v>1</v>
      </c>
      <c r="Y89" s="20" t="n">
        <v>1</v>
      </c>
      <c r="Z89" s="20" t="n">
        <v>0</v>
      </c>
      <c r="AA89" s="20" t="n">
        <v>0</v>
      </c>
      <c r="AB89" s="20" t="n">
        <v>0</v>
      </c>
      <c r="AD89" s="20" t="n">
        <v>1</v>
      </c>
      <c r="AE89" s="20" t="n">
        <v>1</v>
      </c>
      <c r="AF89" s="20" t="n">
        <v>0</v>
      </c>
      <c r="AG89" s="20" t="n">
        <v>0</v>
      </c>
    </row>
    <row r="90">
      <c r="A90" s="7" t="str">
        <f>Secenekler!A90</f>
        <v>ddd-renderer-c</v>
      </c>
      <c r="B90" s="7" t="str">
        <f>Secenekler!C90</f>
        <v>3 günlük sabit kapsamlı mimari değerlendirme hizmeti</v>
      </c>
      <c r="C90" s="20" t="n">
        <v>0</v>
      </c>
      <c r="D90" s="20" t="n">
        <v>0</v>
      </c>
      <c r="E90" s="20" t="n">
        <v>0</v>
      </c>
      <c r="F90" s="20" t="n">
        <v>0</v>
      </c>
      <c r="G90" s="20" t="n">
        <v>0</v>
      </c>
      <c r="H90" s="20" t="n">
        <v>0</v>
      </c>
      <c r="I90" s="20" t="n">
        <v>1</v>
      </c>
      <c r="J90" s="20" t="n">
        <v>0</v>
      </c>
      <c r="K90" s="20" t="n">
        <v>0</v>
      </c>
      <c r="L90" s="20" t="n">
        <v>0</v>
      </c>
      <c r="M90" s="20" t="n">
        <v>0</v>
      </c>
      <c r="N90" s="20" t="n">
        <v>0</v>
      </c>
      <c r="O90" s="20" t="n">
        <v>0</v>
      </c>
      <c r="P90" s="20" t="n">
        <v>0</v>
      </c>
      <c r="Q90" s="20" t="n">
        <v>0</v>
      </c>
      <c r="R90" s="20" t="n">
        <v>0</v>
      </c>
      <c r="S90" s="20" t="n">
        <v>0</v>
      </c>
      <c r="T90" s="20" t="n">
        <v>0</v>
      </c>
      <c r="U90" s="20" t="n">
        <v>0</v>
      </c>
      <c r="V90" s="20" t="n">
        <v>0</v>
      </c>
      <c r="W90" s="20" t="n">
        <v>0</v>
      </c>
      <c r="X90" s="20" t="n">
        <v>1</v>
      </c>
      <c r="Y90" s="20" t="n">
        <v>1</v>
      </c>
      <c r="Z90" s="20" t="n">
        <v>0</v>
      </c>
      <c r="AA90" s="20" t="n">
        <v>0</v>
      </c>
      <c r="AB90" s="20" t="n">
        <v>0</v>
      </c>
      <c r="AD90" s="20" t="n">
        <v>1</v>
      </c>
      <c r="AE90" s="20" t="n">
        <v>0</v>
      </c>
      <c r="AF90" s="20" t="n">
        <v>0</v>
      </c>
      <c r="AG90" s="20" t="n">
        <v>0</v>
      </c>
    </row>
    <row r="91">
      <c r="A91" s="7" t="str">
        <f>Secenekler!A91</f>
        <v>devpanel-a</v>
      </c>
      <c r="B91" s="7" t="str">
        <f>Secenekler!C91</f>
        <v>3 günlük onay, denetim ve yetki entegrasyon paketi</v>
      </c>
      <c r="C91" s="20" t="n">
        <v>0</v>
      </c>
      <c r="D91" s="20" t="n">
        <v>0</v>
      </c>
      <c r="E91" s="20" t="n">
        <v>1</v>
      </c>
      <c r="F91" s="20" t="n">
        <v>1</v>
      </c>
      <c r="G91" s="20" t="n">
        <v>0</v>
      </c>
      <c r="H91" s="20" t="n">
        <v>0</v>
      </c>
      <c r="I91" s="20" t="n">
        <v>0</v>
      </c>
      <c r="J91" s="20" t="n">
        <v>0</v>
      </c>
      <c r="K91" s="20" t="n">
        <v>0</v>
      </c>
      <c r="L91" s="20" t="n">
        <v>0</v>
      </c>
      <c r="M91" s="20" t="n">
        <v>0</v>
      </c>
      <c r="N91" s="20" t="n">
        <v>0</v>
      </c>
      <c r="O91" s="20" t="n">
        <v>0</v>
      </c>
      <c r="P91" s="20" t="n">
        <v>0</v>
      </c>
      <c r="Q91" s="20" t="n">
        <v>0</v>
      </c>
      <c r="R91" s="20" t="n">
        <v>0</v>
      </c>
      <c r="S91" s="20" t="n">
        <v>0</v>
      </c>
      <c r="T91" s="20" t="n">
        <v>0</v>
      </c>
      <c r="U91" s="20" t="n">
        <v>0</v>
      </c>
      <c r="V91" s="20" t="n">
        <v>0</v>
      </c>
      <c r="W91" s="20" t="n">
        <v>0</v>
      </c>
      <c r="X91" s="20" t="n">
        <v>1</v>
      </c>
      <c r="Y91" s="20" t="n">
        <v>1</v>
      </c>
      <c r="Z91" s="20" t="n">
        <v>0</v>
      </c>
      <c r="AA91" s="20" t="n">
        <v>0</v>
      </c>
      <c r="AB91" s="20" t="n">
        <v>0</v>
      </c>
      <c r="AD91" s="20" t="n">
        <v>0</v>
      </c>
      <c r="AE91" s="20" t="n">
        <v>1</v>
      </c>
      <c r="AF91" s="20" t="n">
        <v>0</v>
      </c>
      <c r="AG91" s="20" t="n">
        <v>0</v>
      </c>
    </row>
    <row r="92">
      <c r="A92" s="7" t="str">
        <f>Secenekler!A92</f>
        <v>devpanel-b</v>
      </c>
      <c r="B92" s="7" t="str">
        <f>Secenekler!C92</f>
        <v>20 alanlı form şemasından JSON ve React dışa aktarım işi</v>
      </c>
      <c r="C92" s="20" t="n">
        <v>0</v>
      </c>
      <c r="D92" s="20" t="n">
        <v>0</v>
      </c>
      <c r="E92" s="20" t="n">
        <v>1</v>
      </c>
      <c r="F92" s="20" t="n">
        <v>1</v>
      </c>
      <c r="G92" s="20" t="n">
        <v>0</v>
      </c>
      <c r="H92" s="20" t="n">
        <v>0</v>
      </c>
      <c r="I92" s="20" t="n">
        <v>0</v>
      </c>
      <c r="J92" s="20" t="n">
        <v>0</v>
      </c>
      <c r="K92" s="20" t="n">
        <v>0</v>
      </c>
      <c r="L92" s="20" t="n">
        <v>0</v>
      </c>
      <c r="M92" s="20" t="n">
        <v>0</v>
      </c>
      <c r="N92" s="20" t="n">
        <v>0</v>
      </c>
      <c r="O92" s="20" t="n">
        <v>0</v>
      </c>
      <c r="P92" s="20" t="n">
        <v>0</v>
      </c>
      <c r="Q92" s="20" t="n">
        <v>0</v>
      </c>
      <c r="R92" s="20" t="n">
        <v>0</v>
      </c>
      <c r="S92" s="20" t="n">
        <v>0</v>
      </c>
      <c r="T92" s="20" t="n">
        <v>0</v>
      </c>
      <c r="U92" s="20" t="n">
        <v>0</v>
      </c>
      <c r="V92" s="20" t="n">
        <v>0</v>
      </c>
      <c r="W92" s="20" t="n">
        <v>0</v>
      </c>
      <c r="X92" s="20" t="n">
        <v>0</v>
      </c>
      <c r="Y92" s="20" t="n">
        <v>1</v>
      </c>
      <c r="Z92" s="20" t="n">
        <v>0</v>
      </c>
      <c r="AA92" s="20" t="n">
        <v>0</v>
      </c>
      <c r="AB92" s="20" t="n">
        <v>0</v>
      </c>
      <c r="AD92" s="20" t="n">
        <v>0</v>
      </c>
      <c r="AE92" s="20" t="n">
        <v>1</v>
      </c>
      <c r="AF92" s="20" t="n">
        <v>0</v>
      </c>
      <c r="AG92" s="20" t="n">
        <v>0</v>
      </c>
    </row>
    <row r="93">
      <c r="A93" s="7" t="str">
        <f>Secenekler!A93</f>
        <v>devpanel-c</v>
      </c>
      <c r="B93" s="7" t="str">
        <f>Secenekler!C93</f>
        <v>Yönetim paneli şablonu, 49 $ lisans</v>
      </c>
      <c r="C93" s="20" t="n">
        <v>0</v>
      </c>
      <c r="D93" s="20" t="n">
        <v>0</v>
      </c>
      <c r="E93" s="20" t="n">
        <v>1</v>
      </c>
      <c r="F93" s="20" t="n">
        <v>1</v>
      </c>
      <c r="G93" s="20" t="n">
        <v>0</v>
      </c>
      <c r="H93" s="20" t="n">
        <v>1</v>
      </c>
      <c r="I93" s="20" t="n">
        <v>0</v>
      </c>
      <c r="J93" s="20" t="n">
        <v>1</v>
      </c>
      <c r="K93" s="20" t="n">
        <v>1</v>
      </c>
      <c r="L93" s="20" t="n">
        <v>0</v>
      </c>
      <c r="M93" s="20" t="n">
        <v>0</v>
      </c>
      <c r="N93" s="20" t="n">
        <v>0</v>
      </c>
      <c r="O93" s="20" t="n">
        <v>0</v>
      </c>
      <c r="P93" s="20" t="n">
        <v>0</v>
      </c>
      <c r="Q93" s="20" t="n">
        <v>0</v>
      </c>
      <c r="R93" s="20" t="n">
        <v>0</v>
      </c>
      <c r="S93" s="20" t="n">
        <v>0</v>
      </c>
      <c r="T93" s="20" t="n">
        <v>0</v>
      </c>
      <c r="U93" s="20" t="n">
        <v>1</v>
      </c>
      <c r="V93" s="20" t="n">
        <v>1</v>
      </c>
      <c r="W93" s="20" t="n">
        <v>0</v>
      </c>
      <c r="X93" s="20" t="n">
        <v>0</v>
      </c>
      <c r="Y93" s="20" t="n">
        <v>1</v>
      </c>
      <c r="Z93" s="20" t="n">
        <v>0</v>
      </c>
      <c r="AA93" s="20" t="n">
        <v>0</v>
      </c>
      <c r="AB93" s="20" t="n">
        <v>0</v>
      </c>
      <c r="AD93" s="20" t="n">
        <v>1</v>
      </c>
      <c r="AE93" s="20" t="n">
        <v>1</v>
      </c>
      <c r="AF93" s="20" t="n">
        <v>0</v>
      </c>
      <c r="AG93" s="20" t="n">
        <v>0</v>
      </c>
    </row>
    <row r="94">
      <c r="A94" s="7" t="str">
        <f>Secenekler!A94</f>
        <v>e-menum-a</v>
      </c>
      <c r="B94" s="7" t="str">
        <f>Secenekler!C94</f>
        <v>Tek kiracılı white-label kurulum paketi</v>
      </c>
      <c r="C94" s="20" t="n">
        <v>1</v>
      </c>
      <c r="D94" s="20" t="n">
        <v>0</v>
      </c>
      <c r="E94" s="20" t="n">
        <v>1</v>
      </c>
      <c r="F94" s="20" t="n">
        <v>1</v>
      </c>
      <c r="G94" s="20" t="n">
        <v>0</v>
      </c>
      <c r="H94" s="20" t="n">
        <v>1</v>
      </c>
      <c r="I94" s="20" t="n">
        <v>0</v>
      </c>
      <c r="J94" s="20" t="n">
        <v>1</v>
      </c>
      <c r="K94" s="20" t="n">
        <v>0</v>
      </c>
      <c r="L94" s="20" t="n">
        <v>0</v>
      </c>
      <c r="M94" s="20" t="n">
        <v>1</v>
      </c>
      <c r="N94" s="20" t="n">
        <v>0</v>
      </c>
      <c r="O94" s="20" t="n">
        <v>0</v>
      </c>
      <c r="P94" s="20" t="n">
        <v>0</v>
      </c>
      <c r="Q94" s="20" t="n">
        <v>0</v>
      </c>
      <c r="R94" s="20" t="n">
        <v>0</v>
      </c>
      <c r="S94" s="20" t="n">
        <v>0</v>
      </c>
      <c r="T94" s="20" t="n">
        <v>0</v>
      </c>
      <c r="U94" s="20" t="n">
        <v>0</v>
      </c>
      <c r="V94" s="20" t="n">
        <v>0</v>
      </c>
      <c r="W94" s="20" t="n">
        <v>0</v>
      </c>
      <c r="X94" s="20" t="n">
        <v>1</v>
      </c>
      <c r="Y94" s="20" t="n">
        <v>1</v>
      </c>
      <c r="Z94" s="20" t="n">
        <v>0</v>
      </c>
      <c r="AA94" s="20" t="n">
        <v>0</v>
      </c>
      <c r="AB94" s="20" t="n">
        <v>0</v>
      </c>
      <c r="AD94" s="20" t="n">
        <v>1</v>
      </c>
      <c r="AE94" s="20" t="n">
        <v>1</v>
      </c>
      <c r="AF94" s="20" t="n">
        <v>0</v>
      </c>
      <c r="AG94" s="20" t="n">
        <v>0</v>
      </c>
    </row>
    <row r="95">
      <c r="A95" s="7" t="str">
        <f>Secenekler!A95</f>
        <v>e-menum-b</v>
      </c>
      <c r="B95" s="7" t="str">
        <f>Secenekler!C95</f>
        <v>Çok şubeli markaya yönetilen menü güncelleme hizmeti</v>
      </c>
      <c r="C95" s="20" t="n">
        <v>0</v>
      </c>
      <c r="D95" s="20" t="n">
        <v>0</v>
      </c>
      <c r="E95" s="20" t="n">
        <v>0</v>
      </c>
      <c r="F95" s="20" t="n">
        <v>1</v>
      </c>
      <c r="G95" s="20" t="n">
        <v>0</v>
      </c>
      <c r="H95" s="20" t="n">
        <v>0</v>
      </c>
      <c r="I95" s="20" t="n">
        <v>1</v>
      </c>
      <c r="J95" s="20" t="n">
        <v>0</v>
      </c>
      <c r="K95" s="20" t="n">
        <v>0</v>
      </c>
      <c r="L95" s="20" t="n">
        <v>0</v>
      </c>
      <c r="M95" s="20" t="n">
        <v>0</v>
      </c>
      <c r="N95" s="20" t="n">
        <v>0</v>
      </c>
      <c r="O95" s="20" t="n">
        <v>0</v>
      </c>
      <c r="P95" s="20" t="n">
        <v>0</v>
      </c>
      <c r="Q95" s="20" t="n">
        <v>0</v>
      </c>
      <c r="R95" s="20" t="n">
        <v>0</v>
      </c>
      <c r="S95" s="20" t="n">
        <v>0</v>
      </c>
      <c r="T95" s="20" t="n">
        <v>0</v>
      </c>
      <c r="U95" s="20" t="n">
        <v>0</v>
      </c>
      <c r="V95" s="20" t="n">
        <v>0</v>
      </c>
      <c r="W95" s="20" t="n">
        <v>0</v>
      </c>
      <c r="X95" s="20" t="n">
        <v>1</v>
      </c>
      <c r="Y95" s="20" t="n">
        <v>1</v>
      </c>
      <c r="Z95" s="20" t="n">
        <v>0</v>
      </c>
      <c r="AA95" s="20" t="n">
        <v>0</v>
      </c>
      <c r="AB95" s="20" t="n">
        <v>0</v>
      </c>
      <c r="AD95" s="20" t="n">
        <v>0</v>
      </c>
      <c r="AE95" s="20" t="n">
        <v>0</v>
      </c>
      <c r="AF95" s="20" t="n">
        <v>0</v>
      </c>
      <c r="AG95" s="20" t="n">
        <v>0</v>
      </c>
    </row>
    <row r="96">
      <c r="A96" s="7" t="str">
        <f>Secenekler!A96</f>
        <v>e-menum-c</v>
      </c>
      <c r="B96" s="7" t="str">
        <f>Secenekler!C96</f>
        <v>Kaynak kod ve belge paketi (depo ve topluluk)</v>
      </c>
      <c r="C96" s="20" t="n">
        <v>1</v>
      </c>
      <c r="D96" s="20" t="n">
        <v>0</v>
      </c>
      <c r="E96" s="20" t="n">
        <v>1</v>
      </c>
      <c r="F96" s="20" t="n">
        <v>1</v>
      </c>
      <c r="G96" s="20" t="n">
        <v>0</v>
      </c>
      <c r="H96" s="20" t="n">
        <v>1</v>
      </c>
      <c r="I96" s="20" t="n">
        <v>0</v>
      </c>
      <c r="J96" s="20" t="n">
        <v>1</v>
      </c>
      <c r="K96" s="20" t="n">
        <v>1</v>
      </c>
      <c r="L96" s="20" t="n">
        <v>0</v>
      </c>
      <c r="M96" s="20" t="n">
        <v>1</v>
      </c>
      <c r="N96" s="20" t="n">
        <v>0</v>
      </c>
      <c r="O96" s="20" t="n">
        <v>0</v>
      </c>
      <c r="P96" s="20" t="n">
        <v>0</v>
      </c>
      <c r="Q96" s="20" t="n">
        <v>0</v>
      </c>
      <c r="R96" s="20" t="n">
        <v>0</v>
      </c>
      <c r="S96" s="20" t="n">
        <v>0</v>
      </c>
      <c r="T96" s="20" t="n">
        <v>0</v>
      </c>
      <c r="U96" s="20" t="n">
        <v>0</v>
      </c>
      <c r="V96" s="20" t="n">
        <v>1</v>
      </c>
      <c r="W96" s="20" t="n">
        <v>0</v>
      </c>
      <c r="X96" s="20" t="n">
        <v>1</v>
      </c>
      <c r="Y96" s="20" t="n">
        <v>1</v>
      </c>
      <c r="Z96" s="20" t="n">
        <v>0</v>
      </c>
      <c r="AA96" s="20" t="n">
        <v>0</v>
      </c>
      <c r="AB96" s="20" t="n">
        <v>0</v>
      </c>
      <c r="AD96" s="20" t="n">
        <v>1</v>
      </c>
      <c r="AE96" s="20" t="n">
        <v>1</v>
      </c>
      <c r="AF96" s="20" t="n">
        <v>0</v>
      </c>
      <c r="AG96" s="20" t="n">
        <v>0</v>
      </c>
    </row>
    <row r="97">
      <c r="A97" s="7" t="str">
        <f>Secenekler!A97</f>
        <v>eklenti-firsat-panosu-a</v>
      </c>
      <c r="B97" s="7" t="str">
        <f>Secenekler!C97</f>
        <v>Bülten Pro: aylık eklenti fırsat bülteni</v>
      </c>
      <c r="C97" s="20" t="n">
        <v>0</v>
      </c>
      <c r="D97" s="20" t="n">
        <v>0</v>
      </c>
      <c r="E97" s="20" t="n">
        <v>1</v>
      </c>
      <c r="F97" s="20" t="n">
        <v>1</v>
      </c>
      <c r="G97" s="20" t="n">
        <v>0</v>
      </c>
      <c r="H97" s="20" t="n">
        <v>1</v>
      </c>
      <c r="I97" s="20" t="n">
        <v>1</v>
      </c>
      <c r="J97" s="20" t="n">
        <v>0</v>
      </c>
      <c r="K97" s="20" t="n">
        <v>0</v>
      </c>
      <c r="L97" s="20" t="n">
        <v>0</v>
      </c>
      <c r="M97" s="20" t="n">
        <v>1</v>
      </c>
      <c r="N97" s="20" t="n">
        <v>0</v>
      </c>
      <c r="O97" s="20" t="n">
        <v>0</v>
      </c>
      <c r="P97" s="20" t="n">
        <v>0</v>
      </c>
      <c r="Q97" s="20" t="n">
        <v>0</v>
      </c>
      <c r="R97" s="20" t="n">
        <v>0</v>
      </c>
      <c r="S97" s="20" t="n">
        <v>0</v>
      </c>
      <c r="T97" s="20" t="n">
        <v>0</v>
      </c>
      <c r="U97" s="20" t="n">
        <v>0</v>
      </c>
      <c r="V97" s="20" t="n">
        <v>1</v>
      </c>
      <c r="W97" s="20" t="n">
        <v>0</v>
      </c>
      <c r="X97" s="20" t="n">
        <v>0</v>
      </c>
      <c r="Y97" s="20" t="n">
        <v>1</v>
      </c>
      <c r="Z97" s="20" t="n">
        <v>0</v>
      </c>
      <c r="AA97" s="20" t="n">
        <v>0</v>
      </c>
      <c r="AB97" s="20" t="n">
        <v>0</v>
      </c>
      <c r="AD97" s="20" t="n">
        <v>1</v>
      </c>
      <c r="AE97" s="20" t="n">
        <v>1</v>
      </c>
      <c r="AF97" s="20" t="n">
        <v>0</v>
      </c>
      <c r="AG97" s="20" t="n">
        <v>0</v>
      </c>
    </row>
    <row r="98">
      <c r="A98" s="7" t="str">
        <f>Secenekler!A98</f>
        <v>eklenti-firsat-panosu-b</v>
      </c>
      <c r="B98" s="7" t="str">
        <f>Secenekler!C98</f>
        <v>Keşif Paketi: tek seferlik eklenti fırsat seti</v>
      </c>
      <c r="C98" s="20" t="n">
        <v>0</v>
      </c>
      <c r="D98" s="20" t="n">
        <v>0</v>
      </c>
      <c r="E98" s="20" t="n">
        <v>1</v>
      </c>
      <c r="F98" s="20" t="n">
        <v>1</v>
      </c>
      <c r="G98" s="20" t="n">
        <v>0</v>
      </c>
      <c r="H98" s="20" t="n">
        <v>0</v>
      </c>
      <c r="I98" s="20" t="n">
        <v>1</v>
      </c>
      <c r="J98" s="20" t="n">
        <v>0</v>
      </c>
      <c r="K98" s="20" t="n">
        <v>0</v>
      </c>
      <c r="L98" s="20" t="n">
        <v>0</v>
      </c>
      <c r="M98" s="20" t="n">
        <v>1</v>
      </c>
      <c r="N98" s="20" t="n">
        <v>0</v>
      </c>
      <c r="O98" s="20" t="n">
        <v>0</v>
      </c>
      <c r="P98" s="20" t="n">
        <v>0</v>
      </c>
      <c r="Q98" s="20" t="n">
        <v>0</v>
      </c>
      <c r="R98" s="20" t="n">
        <v>0</v>
      </c>
      <c r="S98" s="20" t="n">
        <v>0</v>
      </c>
      <c r="T98" s="20" t="n">
        <v>0</v>
      </c>
      <c r="U98" s="20" t="n">
        <v>0</v>
      </c>
      <c r="V98" s="20" t="n">
        <v>0</v>
      </c>
      <c r="W98" s="20" t="n">
        <v>0</v>
      </c>
      <c r="X98" s="20" t="n">
        <v>0</v>
      </c>
      <c r="Y98" s="20" t="n">
        <v>1</v>
      </c>
      <c r="Z98" s="20" t="n">
        <v>0</v>
      </c>
      <c r="AA98" s="20" t="n">
        <v>0</v>
      </c>
      <c r="AB98" s="20" t="n">
        <v>0</v>
      </c>
      <c r="AD98" s="20" t="n">
        <v>1</v>
      </c>
      <c r="AE98" s="20" t="n">
        <v>1</v>
      </c>
      <c r="AF98" s="20" t="n">
        <v>0</v>
      </c>
      <c r="AG98" s="20" t="n">
        <v>0</v>
      </c>
    </row>
    <row r="99">
      <c r="A99" s="7" t="str">
        <f>Secenekler!A99</f>
        <v>eklenti-firsat-panosu-c</v>
      </c>
      <c r="B99" s="7" t="str">
        <f>Secenekler!C99</f>
        <v>Ajans lisansı: ürün hattı fırsat paketi</v>
      </c>
      <c r="C99" s="20" t="n">
        <v>0</v>
      </c>
      <c r="D99" s="20" t="n">
        <v>0</v>
      </c>
      <c r="E99" s="20" t="n">
        <v>0</v>
      </c>
      <c r="F99" s="20" t="n">
        <v>0</v>
      </c>
      <c r="G99" s="20" t="n">
        <v>0</v>
      </c>
      <c r="H99" s="20" t="n">
        <v>0</v>
      </c>
      <c r="I99" s="20" t="n">
        <v>0</v>
      </c>
      <c r="J99" s="20" t="n">
        <v>0</v>
      </c>
      <c r="K99" s="20" t="n">
        <v>0</v>
      </c>
      <c r="L99" s="20" t="n">
        <v>0</v>
      </c>
      <c r="M99" s="20" t="n">
        <v>0</v>
      </c>
      <c r="N99" s="20" t="n">
        <v>0</v>
      </c>
      <c r="O99" s="20" t="n">
        <v>0</v>
      </c>
      <c r="P99" s="20" t="n">
        <v>0</v>
      </c>
      <c r="Q99" s="20" t="n">
        <v>0</v>
      </c>
      <c r="R99" s="20" t="n">
        <v>0</v>
      </c>
      <c r="S99" s="20" t="n">
        <v>0</v>
      </c>
      <c r="T99" s="20" t="n">
        <v>0</v>
      </c>
      <c r="U99" s="20" t="n">
        <v>0</v>
      </c>
      <c r="V99" s="20" t="n">
        <v>0</v>
      </c>
      <c r="W99" s="20" t="n">
        <v>0</v>
      </c>
      <c r="X99" s="20" t="n">
        <v>0</v>
      </c>
      <c r="Y99" s="20" t="n">
        <v>0</v>
      </c>
      <c r="Z99" s="20" t="n">
        <v>0</v>
      </c>
      <c r="AA99" s="20" t="n">
        <v>0</v>
      </c>
      <c r="AB99" s="20" t="n">
        <v>0</v>
      </c>
      <c r="AD99" s="20" t="n">
        <v>1</v>
      </c>
      <c r="AE99" s="20" t="n">
        <v>0</v>
      </c>
      <c r="AF99" s="20" t="n">
        <v>0</v>
      </c>
      <c r="AG99" s="20" t="n">
        <v>0</v>
      </c>
    </row>
    <row r="100">
      <c r="A100" s="7" t="str">
        <f>Secenekler!A100</f>
        <v>cok-dilli-arayuz-a</v>
      </c>
      <c r="B100" s="7" t="str">
        <f>Secenekler!C100</f>
        <v>Çok dilli site denetimi: sabit fiyatlı paket</v>
      </c>
      <c r="C100" s="20" t="n">
        <v>0</v>
      </c>
      <c r="D100" s="20" t="n">
        <v>1</v>
      </c>
      <c r="E100" s="20" t="n">
        <v>0</v>
      </c>
      <c r="F100" s="20" t="n">
        <v>1</v>
      </c>
      <c r="G100" s="20" t="n">
        <v>0</v>
      </c>
      <c r="H100" s="20" t="n">
        <v>0</v>
      </c>
      <c r="I100" s="20" t="n">
        <v>1</v>
      </c>
      <c r="J100" s="20" t="n">
        <v>0</v>
      </c>
      <c r="K100" s="20" t="n">
        <v>0</v>
      </c>
      <c r="L100" s="20" t="n">
        <v>0</v>
      </c>
      <c r="M100" s="20" t="n">
        <v>0</v>
      </c>
      <c r="N100" s="20" t="n">
        <v>0</v>
      </c>
      <c r="O100" s="20" t="n">
        <v>0</v>
      </c>
      <c r="P100" s="20" t="n">
        <v>0</v>
      </c>
      <c r="Q100" s="20" t="n">
        <v>0</v>
      </c>
      <c r="R100" s="20" t="n">
        <v>0</v>
      </c>
      <c r="S100" s="20" t="n">
        <v>0</v>
      </c>
      <c r="T100" s="20" t="n">
        <v>0</v>
      </c>
      <c r="U100" s="20" t="n">
        <v>0</v>
      </c>
      <c r="V100" s="20" t="n">
        <v>0</v>
      </c>
      <c r="W100" s="20" t="n">
        <v>0</v>
      </c>
      <c r="X100" s="20" t="n">
        <v>2</v>
      </c>
      <c r="Y100" s="20" t="n">
        <v>1</v>
      </c>
      <c r="Z100" s="20" t="n">
        <v>1</v>
      </c>
      <c r="AA100" s="20" t="n">
        <v>0</v>
      </c>
      <c r="AB100" s="20" t="n">
        <v>0</v>
      </c>
      <c r="AD100" s="20" t="n">
        <v>1</v>
      </c>
      <c r="AE100" s="20" t="n">
        <v>0</v>
      </c>
      <c r="AF100" s="20" t="n">
        <v>0</v>
      </c>
      <c r="AG100" s="20" t="n">
        <v>1</v>
      </c>
    </row>
    <row r="101">
      <c r="A101" s="7" t="str">
        <f>Secenekler!A101</f>
        <v>cok-dilli-arayuz-b</v>
      </c>
      <c r="B101" s="7" t="str">
        <f>Secenekler!C101</f>
        <v>Kontrol listesi PDF ve ücretsiz Atlas modülü</v>
      </c>
      <c r="C101" s="20" t="n">
        <v>0</v>
      </c>
      <c r="D101" s="20" t="n">
        <v>0</v>
      </c>
      <c r="E101" s="20" t="n">
        <v>0</v>
      </c>
      <c r="F101" s="20" t="n">
        <v>1</v>
      </c>
      <c r="G101" s="20" t="n">
        <v>0</v>
      </c>
      <c r="H101" s="20" t="n">
        <v>0</v>
      </c>
      <c r="I101" s="20" t="n">
        <v>0</v>
      </c>
      <c r="J101" s="20" t="n">
        <v>0</v>
      </c>
      <c r="K101" s="20" t="n">
        <v>0</v>
      </c>
      <c r="L101" s="20" t="n">
        <v>0</v>
      </c>
      <c r="M101" s="20" t="n">
        <v>0</v>
      </c>
      <c r="N101" s="20" t="n">
        <v>0</v>
      </c>
      <c r="O101" s="20" t="n">
        <v>0</v>
      </c>
      <c r="P101" s="20" t="n">
        <v>0</v>
      </c>
      <c r="Q101" s="20" t="n">
        <v>0</v>
      </c>
      <c r="R101" s="20" t="n">
        <v>0</v>
      </c>
      <c r="S101" s="20" t="n">
        <v>0</v>
      </c>
      <c r="T101" s="20" t="n">
        <v>0</v>
      </c>
      <c r="U101" s="20" t="n">
        <v>0</v>
      </c>
      <c r="V101" s="20" t="n">
        <v>0</v>
      </c>
      <c r="W101" s="20" t="n">
        <v>0</v>
      </c>
      <c r="X101" s="20" t="n">
        <v>1</v>
      </c>
      <c r="Y101" s="20" t="n">
        <v>1</v>
      </c>
      <c r="Z101" s="20" t="n">
        <v>0</v>
      </c>
      <c r="AA101" s="20" t="n">
        <v>0</v>
      </c>
      <c r="AB101" s="20" t="n">
        <v>0</v>
      </c>
      <c r="AD101" s="20" t="n">
        <v>1</v>
      </c>
      <c r="AE101" s="20" t="n">
        <v>1</v>
      </c>
      <c r="AF101" s="20" t="n">
        <v>0</v>
      </c>
      <c r="AG101" s="20" t="n">
        <v>0</v>
      </c>
    </row>
    <row r="102">
      <c r="A102" s="7" t="str">
        <f>Secenekler!A102</f>
        <v>cok-dilli-arayuz-c</v>
      </c>
      <c r="B102" s="7" t="str">
        <f>Secenekler!C102</f>
        <v>SaaS ekibine ücretli pilot: yerelleştirme QA kapısı</v>
      </c>
      <c r="C102" s="20" t="n">
        <v>0</v>
      </c>
      <c r="D102" s="20" t="n">
        <v>0</v>
      </c>
      <c r="E102" s="20" t="n">
        <v>0</v>
      </c>
      <c r="F102" s="20" t="n">
        <v>1</v>
      </c>
      <c r="G102" s="20" t="n">
        <v>0</v>
      </c>
      <c r="H102" s="20" t="n">
        <v>0</v>
      </c>
      <c r="I102" s="20" t="n">
        <v>0</v>
      </c>
      <c r="J102" s="20" t="n">
        <v>0</v>
      </c>
      <c r="K102" s="20" t="n">
        <v>0</v>
      </c>
      <c r="L102" s="20" t="n">
        <v>0</v>
      </c>
      <c r="M102" s="20" t="n">
        <v>0</v>
      </c>
      <c r="N102" s="20" t="n">
        <v>0</v>
      </c>
      <c r="O102" s="20" t="n">
        <v>0</v>
      </c>
      <c r="P102" s="20" t="n">
        <v>0</v>
      </c>
      <c r="Q102" s="20" t="n">
        <v>0</v>
      </c>
      <c r="R102" s="20" t="n">
        <v>0</v>
      </c>
      <c r="S102" s="20" t="n">
        <v>0</v>
      </c>
      <c r="T102" s="20" t="n">
        <v>0</v>
      </c>
      <c r="U102" s="20" t="n">
        <v>0</v>
      </c>
      <c r="V102" s="20" t="n">
        <v>0</v>
      </c>
      <c r="W102" s="20" t="n">
        <v>0</v>
      </c>
      <c r="X102" s="20" t="n">
        <v>1</v>
      </c>
      <c r="Y102" s="20" t="n">
        <v>1</v>
      </c>
      <c r="Z102" s="20" t="n">
        <v>0</v>
      </c>
      <c r="AA102" s="20" t="n">
        <v>0</v>
      </c>
      <c r="AB102" s="20" t="n">
        <v>0</v>
      </c>
      <c r="AD102" s="20" t="n">
        <v>1</v>
      </c>
      <c r="AE102" s="20" t="n">
        <v>1</v>
      </c>
      <c r="AF102" s="20" t="n">
        <v>0</v>
      </c>
      <c r="AG102" s="20" t="n">
        <v>0</v>
      </c>
    </row>
    <row r="103">
      <c r="A103" s="7" t="str">
        <f>Secenekler!A103</f>
        <v>b2b-pazar-yeri-hizmeti-a</v>
      </c>
      <c r="B103" s="7" t="str">
        <f>Secenekler!C103</f>
        <v>Soğuk başlangıç teşhis paketi (2 hafta)</v>
      </c>
      <c r="C103" s="20" t="n">
        <v>0</v>
      </c>
      <c r="D103" s="20" t="n">
        <v>0</v>
      </c>
      <c r="E103" s="20" t="n">
        <v>0</v>
      </c>
      <c r="F103" s="20" t="n">
        <v>0</v>
      </c>
      <c r="G103" s="20" t="n">
        <v>0</v>
      </c>
      <c r="H103" s="20" t="n">
        <v>0</v>
      </c>
      <c r="I103" s="20" t="n">
        <v>0</v>
      </c>
      <c r="J103" s="20" t="n">
        <v>0</v>
      </c>
      <c r="K103" s="20" t="n">
        <v>0</v>
      </c>
      <c r="L103" s="20" t="n">
        <v>0</v>
      </c>
      <c r="M103" s="20" t="n">
        <v>1</v>
      </c>
      <c r="N103" s="20" t="n">
        <v>0</v>
      </c>
      <c r="O103" s="20" t="n">
        <v>0</v>
      </c>
      <c r="P103" s="20" t="n">
        <v>0</v>
      </c>
      <c r="Q103" s="20" t="n">
        <v>0</v>
      </c>
      <c r="R103" s="20" t="n">
        <v>0</v>
      </c>
      <c r="S103" s="20" t="n">
        <v>0</v>
      </c>
      <c r="T103" s="20" t="n">
        <v>0</v>
      </c>
      <c r="U103" s="20" t="n">
        <v>0</v>
      </c>
      <c r="V103" s="20" t="n">
        <v>0</v>
      </c>
      <c r="W103" s="20" t="n">
        <v>0</v>
      </c>
      <c r="X103" s="20" t="n">
        <v>1</v>
      </c>
      <c r="Y103" s="20" t="n">
        <v>0</v>
      </c>
      <c r="Z103" s="20" t="n">
        <v>0</v>
      </c>
      <c r="AA103" s="20" t="n">
        <v>0</v>
      </c>
      <c r="AB103" s="20" t="n">
        <v>0</v>
      </c>
      <c r="AD103" s="20" t="n">
        <v>1</v>
      </c>
      <c r="AE103" s="20" t="n">
        <v>0</v>
      </c>
      <c r="AF103" s="20" t="n">
        <v>0</v>
      </c>
      <c r="AG103" s="20" t="n">
        <v>0</v>
      </c>
    </row>
    <row r="104">
      <c r="A104" s="7" t="str">
        <f>Secenekler!A104</f>
        <v>b2b-pazar-yeri-hizmeti-b</v>
      </c>
      <c r="B104" s="7" t="str">
        <f>Secenekler!C104</f>
        <v>Tek kategori talep ve teklif doğrulama raporu</v>
      </c>
      <c r="C104" s="20" t="n">
        <v>0</v>
      </c>
      <c r="D104" s="20" t="n">
        <v>0</v>
      </c>
      <c r="E104" s="20" t="n">
        <v>0</v>
      </c>
      <c r="F104" s="20" t="n">
        <v>0</v>
      </c>
      <c r="G104" s="20" t="n">
        <v>0</v>
      </c>
      <c r="H104" s="20" t="n">
        <v>0</v>
      </c>
      <c r="I104" s="20" t="n">
        <v>0</v>
      </c>
      <c r="J104" s="20" t="n">
        <v>0</v>
      </c>
      <c r="K104" s="20" t="n">
        <v>0</v>
      </c>
      <c r="L104" s="20" t="n">
        <v>0</v>
      </c>
      <c r="M104" s="20" t="n">
        <v>0</v>
      </c>
      <c r="N104" s="20" t="n">
        <v>0</v>
      </c>
      <c r="O104" s="20" t="n">
        <v>0</v>
      </c>
      <c r="P104" s="20" t="n">
        <v>0</v>
      </c>
      <c r="Q104" s="20" t="n">
        <v>0</v>
      </c>
      <c r="R104" s="20" t="n">
        <v>0</v>
      </c>
      <c r="S104" s="20" t="n">
        <v>0</v>
      </c>
      <c r="T104" s="20" t="n">
        <v>0</v>
      </c>
      <c r="U104" s="20" t="n">
        <v>0</v>
      </c>
      <c r="V104" s="20" t="n">
        <v>0</v>
      </c>
      <c r="W104" s="20" t="n">
        <v>0</v>
      </c>
      <c r="X104" s="20" t="n">
        <v>1</v>
      </c>
      <c r="Y104" s="20" t="n">
        <v>0</v>
      </c>
      <c r="Z104" s="20" t="n">
        <v>0</v>
      </c>
      <c r="AA104" s="20" t="n">
        <v>0</v>
      </c>
      <c r="AB104" s="20" t="n">
        <v>0</v>
      </c>
      <c r="AD104" s="20" t="n">
        <v>0</v>
      </c>
      <c r="AE104" s="20" t="n">
        <v>0</v>
      </c>
      <c r="AF104" s="20" t="n">
        <v>0</v>
      </c>
      <c r="AG104" s="20" t="n">
        <v>0</v>
      </c>
    </row>
    <row r="105">
      <c r="A105" s="7" t="str">
        <f>Secenekler!A105</f>
        <v>b2b-pazar-yeri-hizmeti-c</v>
      </c>
      <c r="B105" s="7" t="str">
        <f>Secenekler!C105</f>
        <v>Tam paket: strateji, ekran seti, backlog ve 90 gün koçluk</v>
      </c>
      <c r="C105" s="20" t="n">
        <v>0</v>
      </c>
      <c r="D105" s="20" t="n">
        <v>0</v>
      </c>
      <c r="E105" s="20" t="n">
        <v>0</v>
      </c>
      <c r="F105" s="20" t="n">
        <v>0</v>
      </c>
      <c r="G105" s="20" t="n">
        <v>0</v>
      </c>
      <c r="H105" s="20" t="n">
        <v>0</v>
      </c>
      <c r="I105" s="20" t="n">
        <v>0</v>
      </c>
      <c r="J105" s="20" t="n">
        <v>0</v>
      </c>
      <c r="K105" s="20" t="n">
        <v>0</v>
      </c>
      <c r="L105" s="20" t="n">
        <v>0</v>
      </c>
      <c r="M105" s="20" t="n">
        <v>0</v>
      </c>
      <c r="N105" s="20" t="n">
        <v>0</v>
      </c>
      <c r="O105" s="20" t="n">
        <v>0</v>
      </c>
      <c r="P105" s="20" t="n">
        <v>0</v>
      </c>
      <c r="Q105" s="20" t="n">
        <v>0</v>
      </c>
      <c r="R105" s="20" t="n">
        <v>0</v>
      </c>
      <c r="S105" s="20" t="n">
        <v>0</v>
      </c>
      <c r="T105" s="20" t="n">
        <v>0</v>
      </c>
      <c r="U105" s="20" t="n">
        <v>0</v>
      </c>
      <c r="V105" s="20" t="n">
        <v>0</v>
      </c>
      <c r="W105" s="20" t="n">
        <v>0</v>
      </c>
      <c r="X105" s="20" t="n">
        <v>1</v>
      </c>
      <c r="Y105" s="20" t="n">
        <v>0</v>
      </c>
      <c r="Z105" s="20" t="n">
        <v>0</v>
      </c>
      <c r="AA105" s="20" t="n">
        <v>0</v>
      </c>
      <c r="AB105" s="20" t="n">
        <v>0</v>
      </c>
      <c r="AD105" s="20" t="n">
        <v>0</v>
      </c>
      <c r="AE105" s="20" t="n">
        <v>0</v>
      </c>
      <c r="AF105" s="20" t="n">
        <v>0</v>
      </c>
      <c r="AG105" s="20" t="n">
        <v>0</v>
      </c>
    </row>
    <row r="106">
      <c r="A106" s="7" t="str">
        <f>Secenekler!A106</f>
        <v>lifeos-a</v>
      </c>
      <c r="B106" s="7" t="str">
        <f>Secenekler!C106</f>
        <v>Günün Framework'ü: ücretsiz yan panel ve çalışma kâğıdı paketi</v>
      </c>
      <c r="C106" s="20" t="n">
        <v>0</v>
      </c>
      <c r="D106" s="20" t="n">
        <v>0</v>
      </c>
      <c r="E106" s="20" t="n">
        <v>0</v>
      </c>
      <c r="F106" s="20" t="n">
        <v>1</v>
      </c>
      <c r="G106" s="20" t="n">
        <v>0</v>
      </c>
      <c r="H106" s="20" t="n">
        <v>1</v>
      </c>
      <c r="I106" s="20" t="n">
        <v>0</v>
      </c>
      <c r="J106" s="20" t="n">
        <v>0</v>
      </c>
      <c r="K106" s="20" t="n">
        <v>0</v>
      </c>
      <c r="L106" s="20" t="n">
        <v>0</v>
      </c>
      <c r="M106" s="20" t="n">
        <v>0</v>
      </c>
      <c r="N106" s="20" t="n">
        <v>0</v>
      </c>
      <c r="O106" s="20" t="n">
        <v>0</v>
      </c>
      <c r="P106" s="20" t="n">
        <v>1</v>
      </c>
      <c r="Q106" s="20" t="n">
        <v>0</v>
      </c>
      <c r="R106" s="20" t="n">
        <v>1</v>
      </c>
      <c r="S106" s="20" t="n">
        <v>0</v>
      </c>
      <c r="T106" s="20" t="n">
        <v>1</v>
      </c>
      <c r="U106" s="20" t="n">
        <v>1</v>
      </c>
      <c r="V106" s="20" t="n">
        <v>0</v>
      </c>
      <c r="W106" s="20" t="n">
        <v>0</v>
      </c>
      <c r="X106" s="20" t="n">
        <v>0</v>
      </c>
      <c r="Y106" s="20" t="n">
        <v>1</v>
      </c>
      <c r="Z106" s="20" t="n">
        <v>0</v>
      </c>
      <c r="AA106" s="20" t="n">
        <v>0</v>
      </c>
      <c r="AB106" s="20" t="n">
        <v>0</v>
      </c>
      <c r="AD106" s="20" t="n">
        <v>1</v>
      </c>
      <c r="AE106" s="20" t="n">
        <v>1</v>
      </c>
      <c r="AF106" s="20" t="n">
        <v>0</v>
      </c>
      <c r="AG106" s="20" t="n">
        <v>0</v>
      </c>
    </row>
    <row r="107">
      <c r="A107" s="7" t="str">
        <f>Secenekler!A107</f>
        <v>lifeos-b</v>
      </c>
      <c r="B107" s="7" t="str">
        <f>Secenekler!C107</f>
        <v>Freelancer haftalık çalışma kaydı: yerel CSV ve kurulum paketi</v>
      </c>
      <c r="C107" s="20" t="n">
        <v>0</v>
      </c>
      <c r="D107" s="20" t="n">
        <v>0</v>
      </c>
      <c r="E107" s="20" t="n">
        <v>0</v>
      </c>
      <c r="F107" s="20" t="n">
        <v>0</v>
      </c>
      <c r="G107" s="20" t="n">
        <v>0</v>
      </c>
      <c r="H107" s="20" t="n">
        <v>0</v>
      </c>
      <c r="I107" s="20" t="n">
        <v>0</v>
      </c>
      <c r="J107" s="20" t="n">
        <v>0</v>
      </c>
      <c r="K107" s="20" t="n">
        <v>0</v>
      </c>
      <c r="L107" s="20" t="n">
        <v>0</v>
      </c>
      <c r="M107" s="20" t="n">
        <v>0</v>
      </c>
      <c r="N107" s="20" t="n">
        <v>0</v>
      </c>
      <c r="O107" s="20" t="n">
        <v>0</v>
      </c>
      <c r="P107" s="20" t="n">
        <v>0</v>
      </c>
      <c r="Q107" s="20" t="n">
        <v>0</v>
      </c>
      <c r="R107" s="20" t="n">
        <v>0</v>
      </c>
      <c r="S107" s="20" t="n">
        <v>0</v>
      </c>
      <c r="T107" s="20" t="n">
        <v>0</v>
      </c>
      <c r="U107" s="20" t="n">
        <v>1</v>
      </c>
      <c r="V107" s="20" t="n">
        <v>0</v>
      </c>
      <c r="W107" s="20" t="n">
        <v>0</v>
      </c>
      <c r="X107" s="20" t="n">
        <v>0</v>
      </c>
      <c r="Y107" s="20" t="n">
        <v>0</v>
      </c>
      <c r="Z107" s="20" t="n">
        <v>0</v>
      </c>
      <c r="AA107" s="20" t="n">
        <v>0</v>
      </c>
      <c r="AB107" s="20" t="n">
        <v>0</v>
      </c>
      <c r="AD107" s="20" t="n">
        <v>0</v>
      </c>
      <c r="AE107" s="20" t="n">
        <v>0</v>
      </c>
      <c r="AF107" s="20" t="n">
        <v>0</v>
      </c>
      <c r="AG107" s="20" t="n">
        <v>0</v>
      </c>
    </row>
    <row r="108">
      <c r="A108" s="7" t="str">
        <f>Secenekler!A108</f>
        <v>lifeos-c</v>
      </c>
      <c r="B108" s="7" t="str">
        <f>Secenekler!C108</f>
        <v>Tek rutin yeni sekme şablonu: açık çekirdek ve ücretli kit</v>
      </c>
      <c r="C108" s="20" t="n">
        <v>0</v>
      </c>
      <c r="D108" s="20" t="n">
        <v>0</v>
      </c>
      <c r="E108" s="20" t="n">
        <v>0</v>
      </c>
      <c r="F108" s="20" t="n">
        <v>0</v>
      </c>
      <c r="G108" s="20" t="n">
        <v>0</v>
      </c>
      <c r="H108" s="20" t="n">
        <v>0</v>
      </c>
      <c r="I108" s="20" t="n">
        <v>0</v>
      </c>
      <c r="J108" s="20" t="n">
        <v>0</v>
      </c>
      <c r="K108" s="20" t="n">
        <v>0</v>
      </c>
      <c r="L108" s="20" t="n">
        <v>0</v>
      </c>
      <c r="M108" s="20" t="n">
        <v>0</v>
      </c>
      <c r="N108" s="20" t="n">
        <v>0</v>
      </c>
      <c r="O108" s="20" t="n">
        <v>0</v>
      </c>
      <c r="P108" s="20" t="n">
        <v>0</v>
      </c>
      <c r="Q108" s="20" t="n">
        <v>0</v>
      </c>
      <c r="R108" s="20" t="n">
        <v>0</v>
      </c>
      <c r="S108" s="20" t="n">
        <v>0</v>
      </c>
      <c r="T108" s="20" t="n">
        <v>0</v>
      </c>
      <c r="U108" s="20" t="n">
        <v>1</v>
      </c>
      <c r="V108" s="20" t="n">
        <v>0</v>
      </c>
      <c r="W108" s="20" t="n">
        <v>0</v>
      </c>
      <c r="X108" s="20" t="n">
        <v>0</v>
      </c>
      <c r="Y108" s="20" t="n">
        <v>1</v>
      </c>
      <c r="Z108" s="20" t="n">
        <v>0</v>
      </c>
      <c r="AA108" s="20" t="n">
        <v>0</v>
      </c>
      <c r="AB108" s="20" t="n">
        <v>0</v>
      </c>
      <c r="AD108" s="20" t="n">
        <v>1</v>
      </c>
      <c r="AE108" s="20" t="n">
        <v>1</v>
      </c>
      <c r="AF108" s="20" t="n">
        <v>0</v>
      </c>
      <c r="AG108" s="20" t="n">
        <v>0</v>
      </c>
    </row>
    <row r="109">
      <c r="A109" s="7" t="str">
        <f>Secenekler!A109</f>
        <v>luquit-a</v>
      </c>
      <c r="B109" s="7" t="str">
        <f>Secenekler!C109</f>
        <v>Emlakçı CRM Lite aylık abonelik (bağımsız ofis)</v>
      </c>
      <c r="C109" s="20" t="n">
        <v>0</v>
      </c>
      <c r="D109" s="20" t="n">
        <v>0</v>
      </c>
      <c r="E109" s="20" t="n">
        <v>1</v>
      </c>
      <c r="F109" s="20" t="n">
        <v>1</v>
      </c>
      <c r="G109" s="20" t="n">
        <v>0</v>
      </c>
      <c r="H109" s="20" t="n">
        <v>1</v>
      </c>
      <c r="I109" s="20" t="n">
        <v>1</v>
      </c>
      <c r="J109" s="20" t="n">
        <v>1</v>
      </c>
      <c r="K109" s="20" t="n">
        <v>0</v>
      </c>
      <c r="L109" s="20" t="n">
        <v>0</v>
      </c>
      <c r="M109" s="20" t="n">
        <v>1</v>
      </c>
      <c r="N109" s="20" t="n">
        <v>0</v>
      </c>
      <c r="O109" s="20" t="n">
        <v>0</v>
      </c>
      <c r="P109" s="20" t="n">
        <v>1</v>
      </c>
      <c r="Q109" s="20" t="n">
        <v>0</v>
      </c>
      <c r="R109" s="20" t="n">
        <v>0</v>
      </c>
      <c r="S109" s="20" t="n">
        <v>0</v>
      </c>
      <c r="T109" s="20" t="n">
        <v>0</v>
      </c>
      <c r="U109" s="20" t="n">
        <v>1</v>
      </c>
      <c r="V109" s="20" t="n">
        <v>1</v>
      </c>
      <c r="W109" s="20" t="n">
        <v>0</v>
      </c>
      <c r="X109" s="20" t="n">
        <v>0</v>
      </c>
      <c r="Y109" s="20" t="n">
        <v>1</v>
      </c>
      <c r="Z109" s="20" t="n">
        <v>0</v>
      </c>
      <c r="AA109" s="20" t="n">
        <v>0</v>
      </c>
      <c r="AB109" s="20" t="n">
        <v>0</v>
      </c>
      <c r="AD109" s="20" t="n">
        <v>1</v>
      </c>
      <c r="AE109" s="20" t="n">
        <v>1</v>
      </c>
      <c r="AF109" s="20" t="n">
        <v>0</v>
      </c>
      <c r="AG109" s="20" t="n">
        <v>0</v>
      </c>
    </row>
    <row r="110">
      <c r="A110" s="7" t="str">
        <f>Secenekler!A110</f>
        <v>luquit-b</v>
      </c>
      <c r="B110" s="7" t="str">
        <f>Secenekler!C110</f>
        <v>Destekli cam arayüz yolculuk kiti (ajans ve freelancer)</v>
      </c>
      <c r="C110" s="20" t="n">
        <v>0</v>
      </c>
      <c r="D110" s="20" t="n">
        <v>0</v>
      </c>
      <c r="E110" s="20" t="n">
        <v>1</v>
      </c>
      <c r="F110" s="20" t="n">
        <v>1</v>
      </c>
      <c r="G110" s="20" t="n">
        <v>0</v>
      </c>
      <c r="H110" s="20" t="n">
        <v>1</v>
      </c>
      <c r="I110" s="20" t="n">
        <v>0</v>
      </c>
      <c r="J110" s="20" t="n">
        <v>1</v>
      </c>
      <c r="K110" s="20" t="n">
        <v>0</v>
      </c>
      <c r="L110" s="20" t="n">
        <v>0</v>
      </c>
      <c r="M110" s="20" t="n">
        <v>0</v>
      </c>
      <c r="N110" s="20" t="n">
        <v>0</v>
      </c>
      <c r="O110" s="20" t="n">
        <v>0</v>
      </c>
      <c r="P110" s="20" t="n">
        <v>0</v>
      </c>
      <c r="Q110" s="20" t="n">
        <v>0</v>
      </c>
      <c r="R110" s="20" t="n">
        <v>0</v>
      </c>
      <c r="S110" s="20" t="n">
        <v>0</v>
      </c>
      <c r="T110" s="20" t="n">
        <v>0</v>
      </c>
      <c r="U110" s="20" t="n">
        <v>0</v>
      </c>
      <c r="V110" s="20" t="n">
        <v>0</v>
      </c>
      <c r="W110" s="20" t="n">
        <v>0</v>
      </c>
      <c r="X110" s="20" t="n">
        <v>0</v>
      </c>
      <c r="Y110" s="20" t="n">
        <v>1</v>
      </c>
      <c r="Z110" s="20" t="n">
        <v>0</v>
      </c>
      <c r="AA110" s="20" t="n">
        <v>0</v>
      </c>
      <c r="AB110" s="20" t="n">
        <v>0</v>
      </c>
      <c r="AD110" s="20" t="n">
        <v>1</v>
      </c>
      <c r="AE110" s="20" t="n">
        <v>1</v>
      </c>
      <c r="AF110" s="20" t="n">
        <v>0</v>
      </c>
      <c r="AG110" s="20" t="n">
        <v>1</v>
      </c>
    </row>
    <row r="111">
      <c r="A111" s="7" t="str">
        <f>Secenekler!A111</f>
        <v>metaframer-kernel-a</v>
      </c>
      <c r="B111" s="7" t="str">
        <f>Secenekler!C111</f>
        <v>tenantkit lisanslı kit (Solo ve Team, küresel)</v>
      </c>
      <c r="C111" s="20" t="n">
        <v>0</v>
      </c>
      <c r="D111" s="20" t="n">
        <v>1</v>
      </c>
      <c r="E111" s="20" t="n">
        <v>1</v>
      </c>
      <c r="F111" s="20" t="n">
        <v>1</v>
      </c>
      <c r="G111" s="20" t="n">
        <v>0</v>
      </c>
      <c r="H111" s="20" t="n">
        <v>1</v>
      </c>
      <c r="I111" s="20" t="n">
        <v>0</v>
      </c>
      <c r="J111" s="20" t="n">
        <v>1</v>
      </c>
      <c r="K111" s="20" t="n">
        <v>0</v>
      </c>
      <c r="L111" s="20" t="n">
        <v>0</v>
      </c>
      <c r="M111" s="20" t="n">
        <v>0</v>
      </c>
      <c r="N111" s="20" t="n">
        <v>0</v>
      </c>
      <c r="O111" s="20" t="n">
        <v>0</v>
      </c>
      <c r="P111" s="20" t="n">
        <v>0</v>
      </c>
      <c r="Q111" s="20" t="n">
        <v>0</v>
      </c>
      <c r="R111" s="20" t="n">
        <v>0</v>
      </c>
      <c r="S111" s="20" t="n">
        <v>0</v>
      </c>
      <c r="T111" s="20" t="n">
        <v>0</v>
      </c>
      <c r="U111" s="20" t="n">
        <v>0</v>
      </c>
      <c r="V111" s="20" t="n">
        <v>0</v>
      </c>
      <c r="W111" s="20" t="n">
        <v>0</v>
      </c>
      <c r="X111" s="20" t="n">
        <v>1</v>
      </c>
      <c r="Y111" s="20" t="n">
        <v>1</v>
      </c>
      <c r="Z111" s="20" t="n">
        <v>0</v>
      </c>
      <c r="AA111" s="20" t="n">
        <v>0</v>
      </c>
      <c r="AB111" s="20" t="n">
        <v>0</v>
      </c>
      <c r="AD111" s="20" t="n">
        <v>1</v>
      </c>
      <c r="AE111" s="20" t="n">
        <v>1</v>
      </c>
      <c r="AF111" s="20" t="n">
        <v>0</v>
      </c>
      <c r="AG111" s="20" t="n">
        <v>0</v>
      </c>
    </row>
    <row r="112">
      <c r="A112" s="7" t="str">
        <f>Secenekler!A112</f>
        <v>metaframer-kernel-b</v>
      </c>
      <c r="B112" s="7" t="str">
        <f>Secenekler!C112</f>
        <v>Ajans paketi: Team lisansı ve 1 günlük atölye (Türkiye)</v>
      </c>
      <c r="C112" s="20" t="n">
        <v>0</v>
      </c>
      <c r="D112" s="20" t="n">
        <v>0</v>
      </c>
      <c r="E112" s="20" t="n">
        <v>0</v>
      </c>
      <c r="F112" s="20" t="n">
        <v>0</v>
      </c>
      <c r="G112" s="20" t="n">
        <v>0</v>
      </c>
      <c r="H112" s="20" t="n">
        <v>0</v>
      </c>
      <c r="I112" s="20" t="n">
        <v>0</v>
      </c>
      <c r="J112" s="20" t="n">
        <v>0</v>
      </c>
      <c r="K112" s="20" t="n">
        <v>0</v>
      </c>
      <c r="L112" s="20" t="n">
        <v>0</v>
      </c>
      <c r="M112" s="20" t="n">
        <v>0</v>
      </c>
      <c r="N112" s="20" t="n">
        <v>0</v>
      </c>
      <c r="O112" s="20" t="n">
        <v>0</v>
      </c>
      <c r="P112" s="20" t="n">
        <v>0</v>
      </c>
      <c r="Q112" s="20" t="n">
        <v>0</v>
      </c>
      <c r="R112" s="20" t="n">
        <v>0</v>
      </c>
      <c r="S112" s="20" t="n">
        <v>0</v>
      </c>
      <c r="T112" s="20" t="n">
        <v>0</v>
      </c>
      <c r="U112" s="20" t="n">
        <v>0</v>
      </c>
      <c r="V112" s="20" t="n">
        <v>0</v>
      </c>
      <c r="W112" s="20" t="n">
        <v>0</v>
      </c>
      <c r="X112" s="20" t="n">
        <v>1</v>
      </c>
      <c r="Y112" s="20" t="n">
        <v>0</v>
      </c>
      <c r="Z112" s="20" t="n">
        <v>0</v>
      </c>
      <c r="AA112" s="20" t="n">
        <v>0</v>
      </c>
      <c r="AB112" s="20" t="n">
        <v>0</v>
      </c>
      <c r="AD112" s="20" t="n">
        <v>1</v>
      </c>
      <c r="AE112" s="20" t="n">
        <v>0</v>
      </c>
      <c r="AF112" s="20" t="n">
        <v>0</v>
      </c>
      <c r="AG112" s="20" t="n">
        <v>0</v>
      </c>
    </row>
    <row r="113">
      <c r="A113" s="7" t="str">
        <f>Secenekler!A113</f>
        <v>metaframer-kernel-c</v>
      </c>
      <c r="B113" s="7" t="str">
        <f>Secenekler!C113</f>
        <v>Tek eylem çok kiracılı güvenlik entegrasyon paketi</v>
      </c>
      <c r="C113" s="20" t="n">
        <v>0</v>
      </c>
      <c r="D113" s="20" t="n">
        <v>0</v>
      </c>
      <c r="E113" s="20" t="n">
        <v>0</v>
      </c>
      <c r="F113" s="20" t="n">
        <v>1</v>
      </c>
      <c r="G113" s="20" t="n">
        <v>0</v>
      </c>
      <c r="H113" s="20" t="n">
        <v>0</v>
      </c>
      <c r="I113" s="20" t="n">
        <v>0</v>
      </c>
      <c r="J113" s="20" t="n">
        <v>0</v>
      </c>
      <c r="K113" s="20" t="n">
        <v>0</v>
      </c>
      <c r="L113" s="20" t="n">
        <v>0</v>
      </c>
      <c r="M113" s="20" t="n">
        <v>0</v>
      </c>
      <c r="N113" s="20" t="n">
        <v>0</v>
      </c>
      <c r="O113" s="20" t="n">
        <v>0</v>
      </c>
      <c r="P113" s="20" t="n">
        <v>0</v>
      </c>
      <c r="Q113" s="20" t="n">
        <v>0</v>
      </c>
      <c r="R113" s="20" t="n">
        <v>0</v>
      </c>
      <c r="S113" s="20" t="n">
        <v>0</v>
      </c>
      <c r="T113" s="20" t="n">
        <v>0</v>
      </c>
      <c r="U113" s="20" t="n">
        <v>0</v>
      </c>
      <c r="V113" s="20" t="n">
        <v>0</v>
      </c>
      <c r="W113" s="20" t="n">
        <v>0</v>
      </c>
      <c r="X113" s="20" t="n">
        <v>1</v>
      </c>
      <c r="Y113" s="20" t="n">
        <v>1</v>
      </c>
      <c r="Z113" s="20" t="n">
        <v>0</v>
      </c>
      <c r="AA113" s="20" t="n">
        <v>0</v>
      </c>
      <c r="AB113" s="20" t="n">
        <v>0</v>
      </c>
      <c r="AD113" s="20" t="n">
        <v>0</v>
      </c>
      <c r="AE113" s="20" t="n">
        <v>1</v>
      </c>
      <c r="AF113" s="20" t="n">
        <v>0</v>
      </c>
      <c r="AG113" s="20" t="n">
        <v>0</v>
      </c>
    </row>
    <row r="114">
      <c r="A114" s="7" t="str">
        <f>Secenekler!A114</f>
        <v>alan-adi-bulucu-a</v>
      </c>
      <c r="B114" s="7" t="str">
        <f>Secenekler!C114</f>
        <v>Proje paketi: Türkçe puanlı boş .com kısa liste aracı</v>
      </c>
      <c r="C114" s="20" t="n">
        <v>1</v>
      </c>
      <c r="D114" s="20" t="n">
        <v>0</v>
      </c>
      <c r="E114" s="20" t="n">
        <v>1</v>
      </c>
      <c r="F114" s="20" t="n">
        <v>1</v>
      </c>
      <c r="G114" s="20" t="n">
        <v>0</v>
      </c>
      <c r="H114" s="20" t="n">
        <v>0</v>
      </c>
      <c r="I114" s="20" t="n">
        <v>0</v>
      </c>
      <c r="J114" s="20" t="n">
        <v>1</v>
      </c>
      <c r="K114" s="20" t="n">
        <v>0</v>
      </c>
      <c r="L114" s="20" t="n">
        <v>0</v>
      </c>
      <c r="M114" s="20" t="n">
        <v>0</v>
      </c>
      <c r="N114" s="20" t="n">
        <v>0</v>
      </c>
      <c r="O114" s="20" t="n">
        <v>0</v>
      </c>
      <c r="P114" s="20" t="n">
        <v>0</v>
      </c>
      <c r="Q114" s="20" t="n">
        <v>0</v>
      </c>
      <c r="R114" s="20" t="n">
        <v>0</v>
      </c>
      <c r="S114" s="20" t="n">
        <v>0</v>
      </c>
      <c r="T114" s="20" t="n">
        <v>0</v>
      </c>
      <c r="U114" s="20" t="n">
        <v>0</v>
      </c>
      <c r="V114" s="20" t="n">
        <v>0</v>
      </c>
      <c r="W114" s="20" t="n">
        <v>0</v>
      </c>
      <c r="X114" s="20" t="n">
        <v>1</v>
      </c>
      <c r="Y114" s="20" t="n">
        <v>1</v>
      </c>
      <c r="Z114" s="20" t="n">
        <v>0</v>
      </c>
      <c r="AA114" s="20" t="n">
        <v>0</v>
      </c>
      <c r="AB114" s="20" t="n">
        <v>0</v>
      </c>
      <c r="AD114" s="20" t="n">
        <v>0</v>
      </c>
      <c r="AE114" s="20" t="n">
        <v>1</v>
      </c>
      <c r="AF114" s="20" t="n">
        <v>0</v>
      </c>
      <c r="AG114" s="20" t="n">
        <v>0</v>
      </c>
    </row>
    <row r="115">
      <c r="A115" s="7" t="str">
        <f>Secenekler!A115</f>
        <v>alan-adi-bulucu-b</v>
      </c>
      <c r="B115" s="7" t="str">
        <f>Secenekler!C115</f>
        <v>Ajans yıllık paketi: puanlı kısa liste ve müşteri teslim şablonu</v>
      </c>
      <c r="C115" s="20" t="n">
        <v>0</v>
      </c>
      <c r="D115" s="20" t="n">
        <v>0</v>
      </c>
      <c r="E115" s="20" t="n">
        <v>0</v>
      </c>
      <c r="F115" s="20" t="n">
        <v>0</v>
      </c>
      <c r="G115" s="20" t="n">
        <v>0</v>
      </c>
      <c r="H115" s="20" t="n">
        <v>0</v>
      </c>
      <c r="I115" s="20" t="n">
        <v>0</v>
      </c>
      <c r="J115" s="20" t="n">
        <v>0</v>
      </c>
      <c r="K115" s="20" t="n">
        <v>0</v>
      </c>
      <c r="L115" s="20" t="n">
        <v>0</v>
      </c>
      <c r="M115" s="20" t="n">
        <v>1</v>
      </c>
      <c r="N115" s="20" t="n">
        <v>0</v>
      </c>
      <c r="O115" s="20" t="n">
        <v>0</v>
      </c>
      <c r="P115" s="20" t="n">
        <v>0</v>
      </c>
      <c r="Q115" s="20" t="n">
        <v>0</v>
      </c>
      <c r="R115" s="20" t="n">
        <v>0</v>
      </c>
      <c r="S115" s="20" t="n">
        <v>0</v>
      </c>
      <c r="T115" s="20" t="n">
        <v>0</v>
      </c>
      <c r="U115" s="20" t="n">
        <v>0</v>
      </c>
      <c r="V115" s="20" t="n">
        <v>0</v>
      </c>
      <c r="W115" s="20" t="n">
        <v>0</v>
      </c>
      <c r="X115" s="20" t="n">
        <v>0</v>
      </c>
      <c r="Y115" s="20" t="n">
        <v>1</v>
      </c>
      <c r="Z115" s="20" t="n">
        <v>0</v>
      </c>
      <c r="AA115" s="20" t="n">
        <v>0</v>
      </c>
      <c r="AB115" s="20" t="n">
        <v>0</v>
      </c>
      <c r="AD115" s="20" t="n">
        <v>0</v>
      </c>
      <c r="AE115" s="20" t="n">
        <v>1</v>
      </c>
      <c r="AF115" s="20" t="n">
        <v>0</v>
      </c>
      <c r="AG115" s="20" t="n">
        <v>0</v>
      </c>
    </row>
    <row r="116">
      <c r="A116" s="7" t="str">
        <f>Secenekler!A116</f>
        <v>alan-adi-bulucu-c</v>
      </c>
      <c r="B116" s="7" t="str">
        <f>Secenekler!C116</f>
        <v>Elle teslim: 10 adaylık güncel boş .com karar dosyası</v>
      </c>
      <c r="C116" s="20" t="n">
        <v>1</v>
      </c>
      <c r="D116" s="20" t="n">
        <v>0</v>
      </c>
      <c r="E116" s="20" t="n">
        <v>1</v>
      </c>
      <c r="F116" s="20" t="n">
        <v>1</v>
      </c>
      <c r="G116" s="20" t="n">
        <v>0</v>
      </c>
      <c r="H116" s="20" t="n">
        <v>0</v>
      </c>
      <c r="I116" s="20" t="n">
        <v>0</v>
      </c>
      <c r="J116" s="20" t="n">
        <v>0</v>
      </c>
      <c r="K116" s="20" t="n">
        <v>0</v>
      </c>
      <c r="L116" s="20" t="n">
        <v>0</v>
      </c>
      <c r="M116" s="20" t="n">
        <v>0</v>
      </c>
      <c r="N116" s="20" t="n">
        <v>0</v>
      </c>
      <c r="O116" s="20" t="n">
        <v>0</v>
      </c>
      <c r="P116" s="20" t="n">
        <v>0</v>
      </c>
      <c r="Q116" s="20" t="n">
        <v>0</v>
      </c>
      <c r="R116" s="20" t="n">
        <v>0</v>
      </c>
      <c r="S116" s="20" t="n">
        <v>0</v>
      </c>
      <c r="T116" s="20" t="n">
        <v>0</v>
      </c>
      <c r="U116" s="20" t="n">
        <v>0</v>
      </c>
      <c r="V116" s="20" t="n">
        <v>0</v>
      </c>
      <c r="W116" s="20" t="n">
        <v>0</v>
      </c>
      <c r="X116" s="20" t="n">
        <v>1</v>
      </c>
      <c r="Y116" s="20" t="n">
        <v>1</v>
      </c>
      <c r="Z116" s="20" t="n">
        <v>0</v>
      </c>
      <c r="AA116" s="20" t="n">
        <v>0</v>
      </c>
      <c r="AB116" s="20" t="n">
        <v>0</v>
      </c>
      <c r="AD116" s="20" t="n">
        <v>0</v>
      </c>
      <c r="AE116" s="20" t="n">
        <v>0</v>
      </c>
      <c r="AF116" s="20" t="n">
        <v>0</v>
      </c>
      <c r="AG116" s="20" t="n">
        <v>0</v>
      </c>
    </row>
    <row r="117">
      <c r="A117" s="7" t="str">
        <f>Secenekler!A117</f>
        <v>projector-a</v>
      </c>
      <c r="B117" s="7" t="str">
        <f>Secenekler!C117</f>
        <v>Türkçe SaaS mimarisi e-kitabı ön satışı</v>
      </c>
      <c r="C117" s="20" t="n">
        <v>0</v>
      </c>
      <c r="D117" s="20" t="n">
        <v>0</v>
      </c>
      <c r="E117" s="20" t="n">
        <v>1</v>
      </c>
      <c r="F117" s="20" t="n">
        <v>1</v>
      </c>
      <c r="G117" s="20" t="n">
        <v>0</v>
      </c>
      <c r="H117" s="20" t="n">
        <v>1</v>
      </c>
      <c r="I117" s="20" t="n">
        <v>0</v>
      </c>
      <c r="J117" s="20" t="n">
        <v>0</v>
      </c>
      <c r="K117" s="20" t="n">
        <v>0</v>
      </c>
      <c r="L117" s="20" t="n">
        <v>0</v>
      </c>
      <c r="M117" s="20" t="n">
        <v>1</v>
      </c>
      <c r="N117" s="20" t="n">
        <v>0</v>
      </c>
      <c r="O117" s="20" t="n">
        <v>0</v>
      </c>
      <c r="P117" s="20" t="n">
        <v>0</v>
      </c>
      <c r="Q117" s="20" t="n">
        <v>0</v>
      </c>
      <c r="R117" s="20" t="n">
        <v>1</v>
      </c>
      <c r="S117" s="20" t="n">
        <v>0</v>
      </c>
      <c r="T117" s="20" t="n">
        <v>1</v>
      </c>
      <c r="U117" s="20" t="n">
        <v>1</v>
      </c>
      <c r="V117" s="20" t="n">
        <v>0</v>
      </c>
      <c r="W117" s="20" t="n">
        <v>0</v>
      </c>
      <c r="X117" s="20" t="n">
        <v>1</v>
      </c>
      <c r="Y117" s="20" t="n">
        <v>1</v>
      </c>
      <c r="Z117" s="20" t="n">
        <v>0</v>
      </c>
      <c r="AA117" s="20" t="n">
        <v>0</v>
      </c>
      <c r="AB117" s="20" t="n">
        <v>0</v>
      </c>
      <c r="AD117" s="20" t="n">
        <v>1</v>
      </c>
      <c r="AE117" s="20" t="n">
        <v>1</v>
      </c>
      <c r="AF117" s="20" t="n">
        <v>0</v>
      </c>
      <c r="AG117" s="20" t="n">
        <v>0</v>
      </c>
    </row>
    <row r="118">
      <c r="A118" s="7" t="str">
        <f>Secenekler!A118</f>
        <v>projector-b</v>
      </c>
      <c r="B118" s="7" t="str">
        <f>Secenekler!C118</f>
        <v>İki günlük ekip atölyesi: Kurumsal SaaS mimarisi</v>
      </c>
      <c r="C118" s="20" t="n">
        <v>0</v>
      </c>
      <c r="D118" s="20" t="n">
        <v>0</v>
      </c>
      <c r="E118" s="20" t="n">
        <v>0</v>
      </c>
      <c r="F118" s="20" t="n">
        <v>0</v>
      </c>
      <c r="G118" s="20" t="n">
        <v>0</v>
      </c>
      <c r="H118" s="20" t="n">
        <v>0</v>
      </c>
      <c r="I118" s="20" t="n">
        <v>1</v>
      </c>
      <c r="J118" s="20" t="n">
        <v>0</v>
      </c>
      <c r="K118" s="20" t="n">
        <v>0</v>
      </c>
      <c r="L118" s="20" t="n">
        <v>0</v>
      </c>
      <c r="M118" s="20" t="n">
        <v>0</v>
      </c>
      <c r="N118" s="20" t="n">
        <v>0</v>
      </c>
      <c r="O118" s="20" t="n">
        <v>0</v>
      </c>
      <c r="P118" s="20" t="n">
        <v>0</v>
      </c>
      <c r="Q118" s="20" t="n">
        <v>0</v>
      </c>
      <c r="R118" s="20" t="n">
        <v>0</v>
      </c>
      <c r="S118" s="20" t="n">
        <v>0</v>
      </c>
      <c r="T118" s="20" t="n">
        <v>0</v>
      </c>
      <c r="U118" s="20" t="n">
        <v>1</v>
      </c>
      <c r="V118" s="20" t="n">
        <v>0</v>
      </c>
      <c r="W118" s="20" t="n">
        <v>0</v>
      </c>
      <c r="X118" s="20" t="n">
        <v>1</v>
      </c>
      <c r="Y118" s="20" t="n">
        <v>0</v>
      </c>
      <c r="Z118" s="20" t="n">
        <v>0</v>
      </c>
      <c r="AA118" s="20" t="n">
        <v>0</v>
      </c>
      <c r="AB118" s="20" t="n">
        <v>0</v>
      </c>
      <c r="AD118" s="20" t="n">
        <v>0</v>
      </c>
      <c r="AE118" s="20" t="n">
        <v>0</v>
      </c>
      <c r="AF118" s="20" t="n">
        <v>0</v>
      </c>
      <c r="AG118" s="20" t="n">
        <v>0</v>
      </c>
    </row>
    <row r="119">
      <c r="A119" s="7" t="str">
        <f>Secenekler!A119</f>
        <v>projector-c</v>
      </c>
      <c r="B119" s="7" t="str">
        <f>Secenekler!C119</f>
        <v>Kaynaklı teslim portalı: 30 dokümanlık migration pilotu</v>
      </c>
      <c r="C119" s="20" t="n">
        <v>0</v>
      </c>
      <c r="D119" s="20" t="n">
        <v>0</v>
      </c>
      <c r="E119" s="20" t="n">
        <v>1</v>
      </c>
      <c r="F119" s="20" t="n">
        <v>1</v>
      </c>
      <c r="G119" s="20" t="n">
        <v>0</v>
      </c>
      <c r="H119" s="20" t="n">
        <v>0</v>
      </c>
      <c r="I119" s="20" t="n">
        <v>0</v>
      </c>
      <c r="J119" s="20" t="n">
        <v>0</v>
      </c>
      <c r="K119" s="20" t="n">
        <v>0</v>
      </c>
      <c r="L119" s="20" t="n">
        <v>0</v>
      </c>
      <c r="M119" s="20" t="n">
        <v>0</v>
      </c>
      <c r="N119" s="20" t="n">
        <v>0</v>
      </c>
      <c r="O119" s="20" t="n">
        <v>0</v>
      </c>
      <c r="P119" s="20" t="n">
        <v>0</v>
      </c>
      <c r="Q119" s="20" t="n">
        <v>0</v>
      </c>
      <c r="R119" s="20" t="n">
        <v>0</v>
      </c>
      <c r="S119" s="20" t="n">
        <v>0</v>
      </c>
      <c r="T119" s="20" t="n">
        <v>0</v>
      </c>
      <c r="U119" s="20" t="n">
        <v>0</v>
      </c>
      <c r="V119" s="20" t="n">
        <v>0</v>
      </c>
      <c r="W119" s="20" t="n">
        <v>0</v>
      </c>
      <c r="X119" s="20" t="n">
        <v>0</v>
      </c>
      <c r="Y119" s="20" t="n">
        <v>1</v>
      </c>
      <c r="Z119" s="20" t="n">
        <v>0</v>
      </c>
      <c r="AA119" s="20" t="n">
        <v>0</v>
      </c>
      <c r="AB119" s="20" t="n">
        <v>0</v>
      </c>
      <c r="AD119" s="20" t="n">
        <v>0</v>
      </c>
      <c r="AE119" s="20" t="n">
        <v>1</v>
      </c>
      <c r="AF119" s="20" t="n">
        <v>0</v>
      </c>
      <c r="AG119" s="20" t="n">
        <v>0</v>
      </c>
    </row>
    <row r="120">
      <c r="A120" s="7" t="str">
        <f>Secenekler!A120</f>
        <v>kurucu-pusulasi-a</v>
      </c>
      <c r="B120" s="7" t="str">
        <f>Secenekler!C120</f>
        <v>Kurucu Pusulası şablonu, bireysel satış</v>
      </c>
      <c r="C120" s="20" t="n">
        <v>0</v>
      </c>
      <c r="D120" s="20" t="n">
        <v>0</v>
      </c>
      <c r="E120" s="20" t="n">
        <v>1</v>
      </c>
      <c r="F120" s="20" t="n">
        <v>1</v>
      </c>
      <c r="G120" s="20" t="n">
        <v>0</v>
      </c>
      <c r="H120" s="20" t="n">
        <v>1</v>
      </c>
      <c r="I120" s="20" t="n">
        <v>0</v>
      </c>
      <c r="J120" s="20" t="n">
        <v>1</v>
      </c>
      <c r="K120" s="20" t="n">
        <v>0</v>
      </c>
      <c r="L120" s="20" t="n">
        <v>0</v>
      </c>
      <c r="M120" s="20" t="n">
        <v>0</v>
      </c>
      <c r="N120" s="20" t="n">
        <v>0</v>
      </c>
      <c r="O120" s="20" t="n">
        <v>0</v>
      </c>
      <c r="P120" s="20" t="n">
        <v>1</v>
      </c>
      <c r="Q120" s="20" t="n">
        <v>0</v>
      </c>
      <c r="R120" s="20" t="n">
        <v>0</v>
      </c>
      <c r="S120" s="20" t="n">
        <v>0</v>
      </c>
      <c r="T120" s="20" t="n">
        <v>1</v>
      </c>
      <c r="U120" s="20" t="n">
        <v>1</v>
      </c>
      <c r="V120" s="20" t="n">
        <v>0</v>
      </c>
      <c r="W120" s="20" t="n">
        <v>0</v>
      </c>
      <c r="X120" s="20" t="n">
        <v>1</v>
      </c>
      <c r="Y120" s="20" t="n">
        <v>1</v>
      </c>
      <c r="Z120" s="20" t="n">
        <v>0</v>
      </c>
      <c r="AA120" s="20" t="n">
        <v>0</v>
      </c>
      <c r="AB120" s="20" t="n">
        <v>0</v>
      </c>
      <c r="AD120" s="20" t="n">
        <v>0</v>
      </c>
      <c r="AE120" s="20" t="n">
        <v>1</v>
      </c>
      <c r="AF120" s="20" t="n">
        <v>0</v>
      </c>
      <c r="AG120" s="20" t="n">
        <v>0</v>
      </c>
    </row>
    <row r="121">
      <c r="A121" s="7" t="str">
        <f>Secenekler!A121</f>
        <v>kurucu-pusulasi-b</v>
      </c>
      <c r="B121" s="7" t="str">
        <f>Secenekler!C121</f>
        <v>Mentor sürümü, kuluçka programlarına kurum lisansı</v>
      </c>
      <c r="C121" s="20" t="n">
        <v>0</v>
      </c>
      <c r="D121" s="20" t="n">
        <v>0</v>
      </c>
      <c r="E121" s="20" t="n">
        <v>0</v>
      </c>
      <c r="F121" s="20" t="n">
        <v>0</v>
      </c>
      <c r="G121" s="20" t="n">
        <v>0</v>
      </c>
      <c r="H121" s="20" t="n">
        <v>0</v>
      </c>
      <c r="I121" s="20" t="n">
        <v>0</v>
      </c>
      <c r="J121" s="20" t="n">
        <v>0</v>
      </c>
      <c r="K121" s="20" t="n">
        <v>0</v>
      </c>
      <c r="L121" s="20" t="n">
        <v>0</v>
      </c>
      <c r="M121" s="20" t="n">
        <v>0</v>
      </c>
      <c r="N121" s="20" t="n">
        <v>0</v>
      </c>
      <c r="O121" s="20" t="n">
        <v>0</v>
      </c>
      <c r="P121" s="20" t="n">
        <v>0</v>
      </c>
      <c r="Q121" s="20" t="n">
        <v>0</v>
      </c>
      <c r="R121" s="20" t="n">
        <v>0</v>
      </c>
      <c r="S121" s="20" t="n">
        <v>0</v>
      </c>
      <c r="T121" s="20" t="n">
        <v>0</v>
      </c>
      <c r="U121" s="20" t="n">
        <v>1</v>
      </c>
      <c r="V121" s="20" t="n">
        <v>0</v>
      </c>
      <c r="W121" s="20" t="n">
        <v>0</v>
      </c>
      <c r="X121" s="20" t="n">
        <v>0</v>
      </c>
      <c r="Y121" s="20" t="n">
        <v>0</v>
      </c>
      <c r="Z121" s="20" t="n">
        <v>0</v>
      </c>
      <c r="AA121" s="20" t="n">
        <v>0</v>
      </c>
      <c r="AB121" s="20" t="n">
        <v>0</v>
      </c>
      <c r="AD121" s="20" t="n">
        <v>0</v>
      </c>
      <c r="AE121" s="20" t="n">
        <v>0</v>
      </c>
      <c r="AF121" s="20" t="n">
        <v>0</v>
      </c>
      <c r="AG121" s="20" t="n">
        <v>0</v>
      </c>
    </row>
    <row r="122">
      <c r="A122" s="7" t="str">
        <f>Secenekler!A122</f>
        <v>kurucu-pusulasi-c</v>
      </c>
      <c r="B122" s="7" t="str">
        <f>Secenekler!C122</f>
        <v>Kitap Atlası, çevirmen künyeli ortaklık sitesi</v>
      </c>
      <c r="C122" s="20" t="n">
        <v>1</v>
      </c>
      <c r="D122" s="20" t="n">
        <v>0</v>
      </c>
      <c r="E122" s="20" t="n">
        <v>1</v>
      </c>
      <c r="F122" s="20" t="n">
        <v>1</v>
      </c>
      <c r="G122" s="20" t="n">
        <v>0</v>
      </c>
      <c r="H122" s="20" t="n">
        <v>0</v>
      </c>
      <c r="I122" s="20" t="n">
        <v>0</v>
      </c>
      <c r="J122" s="20" t="n">
        <v>0</v>
      </c>
      <c r="K122" s="20" t="n">
        <v>0</v>
      </c>
      <c r="L122" s="20" t="n">
        <v>0</v>
      </c>
      <c r="M122" s="20" t="n">
        <v>0</v>
      </c>
      <c r="N122" s="20" t="n">
        <v>0</v>
      </c>
      <c r="O122" s="20" t="n">
        <v>0</v>
      </c>
      <c r="P122" s="20" t="n">
        <v>1</v>
      </c>
      <c r="Q122" s="20" t="n">
        <v>0</v>
      </c>
      <c r="R122" s="20" t="n">
        <v>1</v>
      </c>
      <c r="S122" s="20" t="n">
        <v>1</v>
      </c>
      <c r="T122" s="20" t="n">
        <v>0</v>
      </c>
      <c r="U122" s="20" t="n">
        <v>1</v>
      </c>
      <c r="V122" s="20" t="n">
        <v>0</v>
      </c>
      <c r="W122" s="20" t="n">
        <v>0</v>
      </c>
      <c r="X122" s="20" t="n">
        <v>1</v>
      </c>
      <c r="Y122" s="20" t="n">
        <v>1</v>
      </c>
      <c r="Z122" s="20" t="n">
        <v>0</v>
      </c>
      <c r="AA122" s="20" t="n">
        <v>0</v>
      </c>
      <c r="AB122" s="20" t="n">
        <v>1</v>
      </c>
      <c r="AD122" s="20" t="n">
        <v>1</v>
      </c>
      <c r="AE122" s="20" t="n">
        <v>0</v>
      </c>
      <c r="AF122" s="20" t="n">
        <v>0</v>
      </c>
      <c r="AG122" s="20" t="n">
        <v>0</v>
      </c>
    </row>
    <row r="123">
      <c r="A123" s="7" t="str">
        <f>Secenekler!A123</f>
        <v>signator-a</v>
      </c>
      <c r="B123" s="7" t="str">
        <f>Secenekler!C123</f>
        <v>Ajans paketi: white-label toplu imza ve KVKK altbilgi</v>
      </c>
      <c r="C123" s="20" t="n">
        <v>0</v>
      </c>
      <c r="D123" s="20" t="n">
        <v>0</v>
      </c>
      <c r="E123" s="20" t="n">
        <v>0</v>
      </c>
      <c r="F123" s="20" t="n">
        <v>1</v>
      </c>
      <c r="G123" s="20" t="n">
        <v>0</v>
      </c>
      <c r="H123" s="20" t="n">
        <v>0</v>
      </c>
      <c r="I123" s="20" t="n">
        <v>1</v>
      </c>
      <c r="J123" s="20" t="n">
        <v>0</v>
      </c>
      <c r="K123" s="20" t="n">
        <v>0</v>
      </c>
      <c r="L123" s="20" t="n">
        <v>0</v>
      </c>
      <c r="M123" s="20" t="n">
        <v>0</v>
      </c>
      <c r="N123" s="20" t="n">
        <v>0</v>
      </c>
      <c r="O123" s="20" t="n">
        <v>0</v>
      </c>
      <c r="P123" s="20" t="n">
        <v>0</v>
      </c>
      <c r="Q123" s="20" t="n">
        <v>0</v>
      </c>
      <c r="R123" s="20" t="n">
        <v>0</v>
      </c>
      <c r="S123" s="20" t="n">
        <v>0</v>
      </c>
      <c r="T123" s="20" t="n">
        <v>0</v>
      </c>
      <c r="U123" s="20" t="n">
        <v>0</v>
      </c>
      <c r="V123" s="20" t="n">
        <v>1</v>
      </c>
      <c r="W123" s="20" t="n">
        <v>0</v>
      </c>
      <c r="X123" s="20" t="n">
        <v>0</v>
      </c>
      <c r="Y123" s="20" t="n">
        <v>1</v>
      </c>
      <c r="Z123" s="20" t="n">
        <v>0</v>
      </c>
      <c r="AA123" s="20" t="n">
        <v>0</v>
      </c>
      <c r="AB123" s="20" t="n">
        <v>0</v>
      </c>
      <c r="AD123" s="20" t="n">
        <v>1</v>
      </c>
      <c r="AE123" s="20" t="n">
        <v>1</v>
      </c>
      <c r="AF123" s="20" t="n">
        <v>0</v>
      </c>
      <c r="AG123" s="20" t="n">
        <v>0</v>
      </c>
    </row>
    <row r="124">
      <c r="A124" s="7" t="str">
        <f>Secenekler!A124</f>
        <v>signator-b</v>
      </c>
      <c r="B124" s="7" t="str">
        <f>Secenekler!C124</f>
        <v>KOBİ ekip paketi: self-servis, aramadan gelen satış</v>
      </c>
      <c r="C124" s="20" t="n">
        <v>0</v>
      </c>
      <c r="D124" s="20" t="n">
        <v>0</v>
      </c>
      <c r="E124" s="20" t="n">
        <v>1</v>
      </c>
      <c r="F124" s="20" t="n">
        <v>1</v>
      </c>
      <c r="G124" s="20" t="n">
        <v>0</v>
      </c>
      <c r="H124" s="20" t="n">
        <v>1</v>
      </c>
      <c r="I124" s="20" t="n">
        <v>1</v>
      </c>
      <c r="J124" s="20" t="n">
        <v>1</v>
      </c>
      <c r="K124" s="20" t="n">
        <v>0</v>
      </c>
      <c r="L124" s="20" t="n">
        <v>0</v>
      </c>
      <c r="M124" s="20" t="n">
        <v>0</v>
      </c>
      <c r="N124" s="20" t="n">
        <v>0</v>
      </c>
      <c r="O124" s="20" t="n">
        <v>0</v>
      </c>
      <c r="P124" s="20" t="n">
        <v>0</v>
      </c>
      <c r="Q124" s="20" t="n">
        <v>0</v>
      </c>
      <c r="R124" s="20" t="n">
        <v>0</v>
      </c>
      <c r="S124" s="20" t="n">
        <v>0</v>
      </c>
      <c r="T124" s="20" t="n">
        <v>0</v>
      </c>
      <c r="U124" s="20" t="n">
        <v>0</v>
      </c>
      <c r="V124" s="20" t="n">
        <v>1</v>
      </c>
      <c r="W124" s="20" t="n">
        <v>0</v>
      </c>
      <c r="X124" s="20" t="n">
        <v>0</v>
      </c>
      <c r="Y124" s="20" t="n">
        <v>1</v>
      </c>
      <c r="Z124" s="20" t="n">
        <v>0</v>
      </c>
      <c r="AA124" s="20" t="n">
        <v>0</v>
      </c>
      <c r="AB124" s="20" t="n">
        <v>0</v>
      </c>
      <c r="AD124" s="20" t="n">
        <v>1</v>
      </c>
      <c r="AE124" s="20" t="n">
        <v>1</v>
      </c>
      <c r="AF124" s="20" t="n">
        <v>0</v>
      </c>
      <c r="AG124" s="20" t="n">
        <v>0</v>
      </c>
    </row>
    <row r="125">
      <c r="A125" s="7" t="str">
        <f>Secenekler!A125</f>
        <v>signator-c</v>
      </c>
      <c r="B125" s="7" t="str">
        <f>Secenekler!C125</f>
        <v>Sabit fiyatlı ekip imzası kurulum paketi</v>
      </c>
      <c r="C125" s="20" t="n">
        <v>0</v>
      </c>
      <c r="D125" s="20" t="n">
        <v>0</v>
      </c>
      <c r="E125" s="20" t="n">
        <v>0</v>
      </c>
      <c r="F125" s="20" t="n">
        <v>0</v>
      </c>
      <c r="G125" s="20" t="n">
        <v>0</v>
      </c>
      <c r="H125" s="20" t="n">
        <v>0</v>
      </c>
      <c r="I125" s="20" t="n">
        <v>1</v>
      </c>
      <c r="J125" s="20" t="n">
        <v>0</v>
      </c>
      <c r="K125" s="20" t="n">
        <v>0</v>
      </c>
      <c r="L125" s="20" t="n">
        <v>0</v>
      </c>
      <c r="M125" s="20" t="n">
        <v>0</v>
      </c>
      <c r="N125" s="20" t="n">
        <v>0</v>
      </c>
      <c r="O125" s="20" t="n">
        <v>0</v>
      </c>
      <c r="P125" s="20" t="n">
        <v>0</v>
      </c>
      <c r="Q125" s="20" t="n">
        <v>0</v>
      </c>
      <c r="R125" s="20" t="n">
        <v>0</v>
      </c>
      <c r="S125" s="20" t="n">
        <v>0</v>
      </c>
      <c r="T125" s="20" t="n">
        <v>0</v>
      </c>
      <c r="U125" s="20" t="n">
        <v>0</v>
      </c>
      <c r="V125" s="20" t="n">
        <v>0</v>
      </c>
      <c r="W125" s="20" t="n">
        <v>0</v>
      </c>
      <c r="X125" s="20" t="n">
        <v>0</v>
      </c>
      <c r="Y125" s="20" t="n">
        <v>1</v>
      </c>
      <c r="Z125" s="20" t="n">
        <v>0</v>
      </c>
      <c r="AA125" s="20" t="n">
        <v>0</v>
      </c>
      <c r="AB125" s="20" t="n">
        <v>0</v>
      </c>
      <c r="AD125" s="20" t="n">
        <v>1</v>
      </c>
      <c r="AE125" s="20" t="n">
        <v>0</v>
      </c>
      <c r="AF125" s="20" t="n">
        <v>0</v>
      </c>
      <c r="AG125" s="20" t="n">
        <v>0</v>
      </c>
    </row>
    <row r="126">
      <c r="A126" s="7" t="str">
        <f>Secenekler!A126</f>
        <v>volley-tap-a</v>
      </c>
      <c r="B126" s="7" t="str">
        <f>Secenekler!C126</f>
        <v>Kulüp ve markalara sabit paketli kampanya oyunu</v>
      </c>
      <c r="C126" s="20" t="n">
        <v>0</v>
      </c>
      <c r="D126" s="20" t="n">
        <v>1</v>
      </c>
      <c r="E126" s="20" t="n">
        <v>0</v>
      </c>
      <c r="F126" s="20" t="n">
        <v>0</v>
      </c>
      <c r="G126" s="20" t="n">
        <v>0</v>
      </c>
      <c r="H126" s="20" t="n">
        <v>0</v>
      </c>
      <c r="I126" s="20" t="n">
        <v>0</v>
      </c>
      <c r="J126" s="20" t="n">
        <v>0</v>
      </c>
      <c r="K126" s="20" t="n">
        <v>0</v>
      </c>
      <c r="L126" s="20" t="n">
        <v>0</v>
      </c>
      <c r="M126" s="20" t="n">
        <v>0</v>
      </c>
      <c r="N126" s="20" t="n">
        <v>0</v>
      </c>
      <c r="O126" s="20" t="n">
        <v>0</v>
      </c>
      <c r="P126" s="20" t="n">
        <v>1</v>
      </c>
      <c r="Q126" s="20" t="n">
        <v>0</v>
      </c>
      <c r="R126" s="20" t="n">
        <v>0</v>
      </c>
      <c r="S126" s="20" t="n">
        <v>0</v>
      </c>
      <c r="T126" s="20" t="n">
        <v>0</v>
      </c>
      <c r="U126" s="20" t="n">
        <v>0</v>
      </c>
      <c r="V126" s="20" t="n">
        <v>0</v>
      </c>
      <c r="W126" s="20" t="n">
        <v>0</v>
      </c>
      <c r="X126" s="20" t="n">
        <v>0</v>
      </c>
      <c r="Y126" s="20" t="n">
        <v>0</v>
      </c>
      <c r="Z126" s="20" t="n">
        <v>0</v>
      </c>
      <c r="AA126" s="20" t="n">
        <v>0</v>
      </c>
      <c r="AB126" s="20" t="n">
        <v>0</v>
      </c>
      <c r="AD126" s="20" t="n">
        <v>0</v>
      </c>
      <c r="AE126" s="20" t="n">
        <v>0</v>
      </c>
      <c r="AF126" s="20" t="n">
        <v>0</v>
      </c>
      <c r="AG126" s="20" t="n">
        <v>0</v>
      </c>
    </row>
    <row r="127">
      <c r="A127" s="7" t="str">
        <f>Secenekler!A127</f>
        <v>volley-tap-b</v>
      </c>
      <c r="B127" s="7" t="str">
        <f>Secenekler!C127</f>
        <v>CrazyGames ve Yandex Games portal reklam geliri</v>
      </c>
      <c r="C127" s="20" t="n">
        <v>0</v>
      </c>
      <c r="D127" s="20" t="n">
        <v>0</v>
      </c>
      <c r="E127" s="20" t="n">
        <v>1</v>
      </c>
      <c r="F127" s="20" t="n">
        <v>1</v>
      </c>
      <c r="G127" s="20" t="n">
        <v>1</v>
      </c>
      <c r="H127" s="20" t="n">
        <v>1</v>
      </c>
      <c r="I127" s="20" t="n">
        <v>0</v>
      </c>
      <c r="J127" s="20" t="n">
        <v>1</v>
      </c>
      <c r="K127" s="20" t="n">
        <v>1</v>
      </c>
      <c r="L127" s="20" t="n">
        <v>0</v>
      </c>
      <c r="M127" s="20" t="n">
        <v>0</v>
      </c>
      <c r="N127" s="20" t="n">
        <v>1</v>
      </c>
      <c r="O127" s="20" t="n">
        <v>0</v>
      </c>
      <c r="P127" s="20" t="n">
        <v>1</v>
      </c>
      <c r="Q127" s="20" t="n">
        <v>1</v>
      </c>
      <c r="R127" s="20" t="n">
        <v>1</v>
      </c>
      <c r="S127" s="20" t="n">
        <v>1</v>
      </c>
      <c r="T127" s="20" t="n">
        <v>1</v>
      </c>
      <c r="U127" s="20" t="n">
        <v>0</v>
      </c>
      <c r="V127" s="20" t="n">
        <v>1</v>
      </c>
      <c r="W127" s="20" t="n">
        <v>0</v>
      </c>
      <c r="X127" s="20" t="n">
        <v>0</v>
      </c>
      <c r="Y127" s="20" t="n">
        <v>1</v>
      </c>
      <c r="Z127" s="20" t="n">
        <v>0</v>
      </c>
      <c r="AA127" s="20" t="n">
        <v>0</v>
      </c>
      <c r="AB127" s="20" t="n">
        <v>1</v>
      </c>
      <c r="AD127" s="20" t="n">
        <v>1</v>
      </c>
      <c r="AE127" s="20" t="n">
        <v>0</v>
      </c>
      <c r="AF127" s="20" t="n">
        <v>1</v>
      </c>
      <c r="AG127" s="20" t="n">
        <v>0</v>
      </c>
    </row>
    <row r="128">
      <c r="A128" s="7" t="str">
        <f>Secenekler!A128</f>
        <v>volley-tap-c</v>
      </c>
      <c r="B128" s="7" t="str">
        <f>Secenekler!C128</f>
        <v>itch.io tarayıcı demo ve ücretli premium paket</v>
      </c>
      <c r="C128" s="20" t="n">
        <v>0</v>
      </c>
      <c r="D128" s="20" t="n">
        <v>0</v>
      </c>
      <c r="E128" s="20" t="n">
        <v>0</v>
      </c>
      <c r="F128" s="20" t="n">
        <v>0</v>
      </c>
      <c r="G128" s="20" t="n">
        <v>0</v>
      </c>
      <c r="H128" s="20" t="n">
        <v>0</v>
      </c>
      <c r="I128" s="20" t="n">
        <v>0</v>
      </c>
      <c r="J128" s="20" t="n">
        <v>0</v>
      </c>
      <c r="K128" s="20" t="n">
        <v>0</v>
      </c>
      <c r="L128" s="20" t="n">
        <v>0</v>
      </c>
      <c r="M128" s="20" t="n">
        <v>0</v>
      </c>
      <c r="N128" s="20" t="n">
        <v>0</v>
      </c>
      <c r="O128" s="20" t="n">
        <v>0</v>
      </c>
      <c r="P128" s="20" t="n">
        <v>1</v>
      </c>
      <c r="Q128" s="20" t="n">
        <v>0</v>
      </c>
      <c r="R128" s="20" t="n">
        <v>1</v>
      </c>
      <c r="S128" s="20" t="n">
        <v>0</v>
      </c>
      <c r="T128" s="20" t="n">
        <v>0</v>
      </c>
      <c r="U128" s="20" t="n">
        <v>0</v>
      </c>
      <c r="V128" s="20" t="n">
        <v>0</v>
      </c>
      <c r="W128" s="20" t="n">
        <v>0</v>
      </c>
      <c r="X128" s="20" t="n">
        <v>0</v>
      </c>
      <c r="Y128" s="20" t="n">
        <v>0</v>
      </c>
      <c r="Z128" s="20" t="n">
        <v>0</v>
      </c>
      <c r="AA128" s="20" t="n">
        <v>0</v>
      </c>
      <c r="AB128" s="20" t="n">
        <v>0</v>
      </c>
      <c r="AD128" s="20" t="n">
        <v>0</v>
      </c>
      <c r="AE128" s="20" t="n">
        <v>0</v>
      </c>
      <c r="AF128" s="20" t="n">
        <v>0</v>
      </c>
      <c r="AG128" s="20" t="n">
        <v>0</v>
      </c>
    </row>
    <row r="129">
      <c r="A129" s="7" t="str">
        <f>Secenekler!A129</f>
        <v>woocommnts-a</v>
      </c>
      <c r="B129" s="7" t="str">
        <f>Secenekler!C129</f>
        <v>Taksit ve kapıda ödeme eklentisi: ücretsiz çekirdek + Pro</v>
      </c>
      <c r="C129" s="20" t="n">
        <v>0</v>
      </c>
      <c r="D129" s="20" t="n">
        <v>0</v>
      </c>
      <c r="E129" s="20" t="n">
        <v>1</v>
      </c>
      <c r="F129" s="20" t="n">
        <v>1</v>
      </c>
      <c r="G129" s="20" t="n">
        <v>0</v>
      </c>
      <c r="H129" s="20" t="n">
        <v>0</v>
      </c>
      <c r="I129" s="20" t="n">
        <v>0</v>
      </c>
      <c r="J129" s="20" t="n">
        <v>1</v>
      </c>
      <c r="K129" s="20" t="n">
        <v>0</v>
      </c>
      <c r="L129" s="20" t="n">
        <v>0</v>
      </c>
      <c r="M129" s="20" t="n">
        <v>0</v>
      </c>
      <c r="N129" s="20" t="n">
        <v>0</v>
      </c>
      <c r="O129" s="20" t="n">
        <v>0</v>
      </c>
      <c r="P129" s="20" t="n">
        <v>0</v>
      </c>
      <c r="Q129" s="20" t="n">
        <v>0</v>
      </c>
      <c r="R129" s="20" t="n">
        <v>0</v>
      </c>
      <c r="S129" s="20" t="n">
        <v>0</v>
      </c>
      <c r="T129" s="20" t="n">
        <v>0</v>
      </c>
      <c r="U129" s="20" t="n">
        <v>0</v>
      </c>
      <c r="V129" s="20" t="n">
        <v>0</v>
      </c>
      <c r="W129" s="20" t="n">
        <v>0</v>
      </c>
      <c r="X129" s="20" t="n">
        <v>1</v>
      </c>
      <c r="Y129" s="20" t="n">
        <v>1</v>
      </c>
      <c r="Z129" s="20" t="n">
        <v>0</v>
      </c>
      <c r="AA129" s="20" t="n">
        <v>1</v>
      </c>
      <c r="AB129" s="20" t="n">
        <v>0</v>
      </c>
      <c r="AD129" s="20" t="n">
        <v>1</v>
      </c>
      <c r="AE129" s="20" t="n">
        <v>1</v>
      </c>
      <c r="AF129" s="20" t="n">
        <v>0</v>
      </c>
      <c r="AG129" s="20" t="n">
        <v>0</v>
      </c>
    </row>
    <row r="130">
      <c r="A130" s="7" t="str">
        <f>Secenekler!A130</f>
        <v>woocommnts-b</v>
      </c>
      <c r="B130" s="7" t="str">
        <f>Secenekler!C130</f>
        <v>Ajans paketi: 10 site lisanslı taksit ve kapıda ödeme eklentisi</v>
      </c>
      <c r="C130" s="20" t="n">
        <v>0</v>
      </c>
      <c r="D130" s="20" t="n">
        <v>0</v>
      </c>
      <c r="E130" s="20" t="n">
        <v>0</v>
      </c>
      <c r="F130" s="20" t="n">
        <v>1</v>
      </c>
      <c r="G130" s="20" t="n">
        <v>0</v>
      </c>
      <c r="H130" s="20" t="n">
        <v>0</v>
      </c>
      <c r="I130" s="20" t="n">
        <v>0</v>
      </c>
      <c r="J130" s="20" t="n">
        <v>1</v>
      </c>
      <c r="K130" s="20" t="n">
        <v>0</v>
      </c>
      <c r="L130" s="20" t="n">
        <v>0</v>
      </c>
      <c r="M130" s="20" t="n">
        <v>0</v>
      </c>
      <c r="N130" s="20" t="n">
        <v>0</v>
      </c>
      <c r="O130" s="20" t="n">
        <v>0</v>
      </c>
      <c r="P130" s="20" t="n">
        <v>0</v>
      </c>
      <c r="Q130" s="20" t="n">
        <v>0</v>
      </c>
      <c r="R130" s="20" t="n">
        <v>0</v>
      </c>
      <c r="S130" s="20" t="n">
        <v>0</v>
      </c>
      <c r="T130" s="20" t="n">
        <v>0</v>
      </c>
      <c r="U130" s="20" t="n">
        <v>0</v>
      </c>
      <c r="V130" s="20" t="n">
        <v>0</v>
      </c>
      <c r="W130" s="20" t="n">
        <v>0</v>
      </c>
      <c r="X130" s="20" t="n">
        <v>1</v>
      </c>
      <c r="Y130" s="20" t="n">
        <v>1</v>
      </c>
      <c r="Z130" s="20" t="n">
        <v>0</v>
      </c>
      <c r="AA130" s="20" t="n">
        <v>1</v>
      </c>
      <c r="AB130" s="20" t="n">
        <v>0</v>
      </c>
      <c r="AD130" s="20" t="n">
        <v>0</v>
      </c>
      <c r="AE130" s="20" t="n">
        <v>0</v>
      </c>
      <c r="AF130" s="20" t="n">
        <v>0</v>
      </c>
      <c r="AG130" s="20" t="n">
        <v>0</v>
      </c>
    </row>
    <row r="131">
      <c r="A131" s="7" t="str">
        <f>Secenekler!A131</f>
        <v>woocommnts-c</v>
      </c>
      <c r="B131" s="7" t="str">
        <f>Secenekler!C131</f>
        <v>Yorum göç hizmeti: izinli yorumları doğru ürüne eşleme</v>
      </c>
      <c r="C131" s="20" t="n">
        <v>0</v>
      </c>
      <c r="D131" s="20" t="n">
        <v>0</v>
      </c>
      <c r="E131" s="20" t="n">
        <v>0</v>
      </c>
      <c r="F131" s="20" t="n">
        <v>1</v>
      </c>
      <c r="G131" s="20" t="n">
        <v>0</v>
      </c>
      <c r="H131" s="20" t="n">
        <v>0</v>
      </c>
      <c r="I131" s="20" t="n">
        <v>0</v>
      </c>
      <c r="J131" s="20" t="n">
        <v>1</v>
      </c>
      <c r="K131" s="20" t="n">
        <v>0</v>
      </c>
      <c r="L131" s="20" t="n">
        <v>0</v>
      </c>
      <c r="M131" s="20" t="n">
        <v>0</v>
      </c>
      <c r="N131" s="20" t="n">
        <v>0</v>
      </c>
      <c r="O131" s="20" t="n">
        <v>0</v>
      </c>
      <c r="P131" s="20" t="n">
        <v>0</v>
      </c>
      <c r="Q131" s="20" t="n">
        <v>0</v>
      </c>
      <c r="R131" s="20" t="n">
        <v>0</v>
      </c>
      <c r="S131" s="20" t="n">
        <v>0</v>
      </c>
      <c r="T131" s="20" t="n">
        <v>0</v>
      </c>
      <c r="U131" s="20" t="n">
        <v>0</v>
      </c>
      <c r="V131" s="20" t="n">
        <v>0</v>
      </c>
      <c r="W131" s="20" t="n">
        <v>0</v>
      </c>
      <c r="X131" s="20" t="n">
        <v>0</v>
      </c>
      <c r="Y131" s="20" t="n">
        <v>1</v>
      </c>
      <c r="Z131" s="20" t="n">
        <v>0</v>
      </c>
      <c r="AA131" s="20" t="n">
        <v>0</v>
      </c>
      <c r="AB131" s="20" t="n">
        <v>0</v>
      </c>
      <c r="AD131" s="20" t="n">
        <v>0</v>
      </c>
      <c r="AE131" s="20" t="n">
        <v>1</v>
      </c>
      <c r="AF131" s="20" t="n">
        <v>0</v>
      </c>
      <c r="AG131" s="20" t="n">
        <v>0</v>
      </c>
    </row>
    <row r="132">
      <c r="A132" s="7" t="str">
        <f>Secenekler!A132</f>
        <v>egitim-demolari-a</v>
      </c>
      <c r="B132" s="7" t="str">
        <f>Secenekler!C132</f>
        <v>Tek kazanımlı ders paketi (rehber ve cevap anahtarı)</v>
      </c>
      <c r="C132" s="20" t="n">
        <v>0</v>
      </c>
      <c r="D132" s="20" t="n">
        <v>0</v>
      </c>
      <c r="E132" s="20" t="n">
        <v>0</v>
      </c>
      <c r="F132" s="20" t="n">
        <v>0</v>
      </c>
      <c r="G132" s="20" t="n">
        <v>0</v>
      </c>
      <c r="H132" s="20" t="n">
        <v>0</v>
      </c>
      <c r="I132" s="20" t="n">
        <v>0</v>
      </c>
      <c r="J132" s="20" t="n">
        <v>0</v>
      </c>
      <c r="K132" s="20" t="n">
        <v>0</v>
      </c>
      <c r="L132" s="20" t="n">
        <v>0</v>
      </c>
      <c r="M132" s="20" t="n">
        <v>0</v>
      </c>
      <c r="N132" s="20" t="n">
        <v>0</v>
      </c>
      <c r="O132" s="20" t="n">
        <v>0</v>
      </c>
      <c r="P132" s="20" t="n">
        <v>0</v>
      </c>
      <c r="Q132" s="20" t="n">
        <v>0</v>
      </c>
      <c r="R132" s="20" t="n">
        <v>0</v>
      </c>
      <c r="S132" s="20" t="n">
        <v>0</v>
      </c>
      <c r="T132" s="20" t="n">
        <v>0</v>
      </c>
      <c r="U132" s="20" t="n">
        <v>0</v>
      </c>
      <c r="V132" s="20" t="n">
        <v>0</v>
      </c>
      <c r="W132" s="20" t="n">
        <v>0</v>
      </c>
      <c r="X132" s="20" t="n">
        <v>0</v>
      </c>
      <c r="Y132" s="20" t="n">
        <v>0</v>
      </c>
      <c r="Z132" s="20" t="n">
        <v>0</v>
      </c>
      <c r="AA132" s="20" t="n">
        <v>0</v>
      </c>
      <c r="AB132" s="20" t="n">
        <v>0</v>
      </c>
      <c r="AD132" s="20" t="n">
        <v>0</v>
      </c>
      <c r="AE132" s="20" t="n">
        <v>0</v>
      </c>
      <c r="AF132" s="20" t="n">
        <v>0</v>
      </c>
      <c r="AG132" s="20" t="n">
        <v>0</v>
      </c>
    </row>
    <row r="133">
      <c r="A133" s="7" t="str">
        <f>Secenekler!A133</f>
        <v>egitim-demolari-b</v>
      </c>
      <c r="B133" s="7" t="str">
        <f>Secenekler!C133</f>
        <v>Ekip atölyesi: prensipleri kendi işine uyarlama</v>
      </c>
      <c r="C133" s="20" t="n">
        <v>0</v>
      </c>
      <c r="D133" s="20" t="n">
        <v>0</v>
      </c>
      <c r="E133" s="20" t="n">
        <v>0</v>
      </c>
      <c r="F133" s="20" t="n">
        <v>0</v>
      </c>
      <c r="G133" s="20" t="n">
        <v>0</v>
      </c>
      <c r="H133" s="20" t="n">
        <v>0</v>
      </c>
      <c r="I133" s="20" t="n">
        <v>0</v>
      </c>
      <c r="J133" s="20" t="n">
        <v>0</v>
      </c>
      <c r="K133" s="20" t="n">
        <v>0</v>
      </c>
      <c r="L133" s="20" t="n">
        <v>0</v>
      </c>
      <c r="M133" s="20" t="n">
        <v>0</v>
      </c>
      <c r="N133" s="20" t="n">
        <v>0</v>
      </c>
      <c r="O133" s="20" t="n">
        <v>0</v>
      </c>
      <c r="P133" s="20" t="n">
        <v>0</v>
      </c>
      <c r="Q133" s="20" t="n">
        <v>0</v>
      </c>
      <c r="R133" s="20" t="n">
        <v>0</v>
      </c>
      <c r="S133" s="20" t="n">
        <v>0</v>
      </c>
      <c r="T133" s="20" t="n">
        <v>0</v>
      </c>
      <c r="U133" s="20" t="n">
        <v>0</v>
      </c>
      <c r="V133" s="20" t="n">
        <v>0</v>
      </c>
      <c r="W133" s="20" t="n">
        <v>0</v>
      </c>
      <c r="X133" s="20" t="n">
        <v>0</v>
      </c>
      <c r="Y133" s="20" t="n">
        <v>0</v>
      </c>
      <c r="Z133" s="20" t="n">
        <v>0</v>
      </c>
      <c r="AA133" s="20" t="n">
        <v>0</v>
      </c>
      <c r="AB133" s="20" t="n">
        <v>0</v>
      </c>
      <c r="AD133" s="20" t="n">
        <v>0</v>
      </c>
      <c r="AE133" s="20" t="n">
        <v>0</v>
      </c>
      <c r="AF133" s="20" t="n">
        <v>0</v>
      </c>
      <c r="AG133" s="20" t="n">
        <v>0</v>
      </c>
    </row>
    <row r="134">
      <c r="A134" s="7" t="str">
        <f>Secenekler!A134</f>
        <v>baz-secenekler-a</v>
      </c>
      <c r="B134" s="7" t="str">
        <f>Secenekler!C134</f>
        <v>Günlük ücretli danışmanlık ya da yazılım işi (aynı saatlerde)</v>
      </c>
      <c r="C134" s="20" t="n">
        <v>1</v>
      </c>
      <c r="D134" s="20" t="n">
        <v>1</v>
      </c>
      <c r="E134" s="20" t="n">
        <v>2</v>
      </c>
      <c r="F134" s="20" t="n">
        <v>1</v>
      </c>
      <c r="G134" s="20" t="n">
        <v>1</v>
      </c>
      <c r="H134" s="20" t="n">
        <v>1</v>
      </c>
      <c r="I134" s="20" t="n">
        <v>2</v>
      </c>
      <c r="J134" s="20" t="n">
        <v>0</v>
      </c>
      <c r="K134" s="20" t="n">
        <v>0</v>
      </c>
      <c r="L134" s="20" t="n">
        <v>0</v>
      </c>
      <c r="M134" s="20" t="n">
        <v>0</v>
      </c>
      <c r="N134" s="20" t="n">
        <v>1</v>
      </c>
      <c r="O134" s="20" t="n">
        <v>0</v>
      </c>
      <c r="P134" s="20" t="n">
        <v>1</v>
      </c>
      <c r="Q134" s="20" t="n">
        <v>0</v>
      </c>
      <c r="R134" s="20" t="n">
        <v>0</v>
      </c>
      <c r="S134" s="20" t="n">
        <v>1</v>
      </c>
      <c r="T134" s="20" t="n">
        <v>0</v>
      </c>
      <c r="U134" s="20" t="n">
        <v>0</v>
      </c>
      <c r="V134" s="20" t="n">
        <v>0</v>
      </c>
      <c r="W134" s="20" t="n">
        <v>0</v>
      </c>
      <c r="X134" s="20" t="n">
        <v>2</v>
      </c>
      <c r="Y134" s="20" t="n">
        <v>1</v>
      </c>
      <c r="Z134" s="20" t="n">
        <v>0</v>
      </c>
      <c r="AA134" s="20" t="n">
        <v>0</v>
      </c>
      <c r="AB134" s="20" t="n">
        <v>0</v>
      </c>
      <c r="AD134" s="20" t="n">
        <v>1</v>
      </c>
      <c r="AE134" s="20" t="n">
        <v>0</v>
      </c>
      <c r="AF134" s="20" t="n">
        <v>1</v>
      </c>
      <c r="AG134" s="20" t="n">
        <v>1</v>
      </c>
    </row>
    <row r="135">
      <c r="A135" s="7" t="str">
        <f>Secenekler!A135</f>
        <v>baz-secenekler-b</v>
      </c>
      <c r="B135" s="7" t="str">
        <f>Secenekler!C135</f>
        <v>Mevcut Django kod tabanının ajanslara kurulumlu satışı</v>
      </c>
      <c r="C135" s="20" t="n">
        <v>1</v>
      </c>
      <c r="D135" s="20" t="n">
        <v>0</v>
      </c>
      <c r="E135" s="20" t="n">
        <v>1</v>
      </c>
      <c r="F135" s="20" t="n">
        <v>1</v>
      </c>
      <c r="G135" s="20" t="n">
        <v>0</v>
      </c>
      <c r="H135" s="20" t="n">
        <v>1</v>
      </c>
      <c r="I135" s="20" t="n">
        <v>0</v>
      </c>
      <c r="J135" s="20" t="n">
        <v>1</v>
      </c>
      <c r="K135" s="20" t="n">
        <v>0</v>
      </c>
      <c r="L135" s="20" t="n">
        <v>0</v>
      </c>
      <c r="M135" s="20" t="n">
        <v>0</v>
      </c>
      <c r="N135" s="20" t="n">
        <v>0</v>
      </c>
      <c r="O135" s="20" t="n">
        <v>0</v>
      </c>
      <c r="P135" s="20" t="n">
        <v>1</v>
      </c>
      <c r="Q135" s="20" t="n">
        <v>0</v>
      </c>
      <c r="R135" s="20" t="n">
        <v>0</v>
      </c>
      <c r="S135" s="20" t="n">
        <v>0</v>
      </c>
      <c r="T135" s="20" t="n">
        <v>0</v>
      </c>
      <c r="U135" s="20" t="n">
        <v>0</v>
      </c>
      <c r="V135" s="20" t="n">
        <v>0</v>
      </c>
      <c r="W135" s="20" t="n">
        <v>0</v>
      </c>
      <c r="X135" s="20" t="n">
        <v>1</v>
      </c>
      <c r="Y135" s="20" t="n">
        <v>1</v>
      </c>
      <c r="Z135" s="20" t="n">
        <v>0</v>
      </c>
      <c r="AA135" s="20" t="n">
        <v>0</v>
      </c>
      <c r="AB135" s="20" t="n">
        <v>0</v>
      </c>
      <c r="AD135" s="20" t="n">
        <v>1</v>
      </c>
      <c r="AE135" s="20" t="n">
        <v>1</v>
      </c>
      <c r="AF135" s="20" t="n">
        <v>0</v>
      </c>
      <c r="AG135" s="20" t="n">
        <v>0</v>
      </c>
    </row>
    <row r="136">
      <c r="A136" s="7" t="str">
        <f>Secenekler!A136</f>
        <v>baz-secenekler-c</v>
      </c>
      <c r="B136" s="7" t="str">
        <f>Secenekler!C136</f>
        <v>Kamu destek programı başvurusu: TÜBİTAK 1812 ön tohum yatırımı</v>
      </c>
      <c r="C136" s="20" t="n">
        <v>1</v>
      </c>
      <c r="D136" s="20" t="n">
        <v>1</v>
      </c>
      <c r="E136" s="20" t="n">
        <v>1</v>
      </c>
      <c r="F136" s="20" t="n">
        <v>1</v>
      </c>
      <c r="G136" s="20" t="n">
        <v>1</v>
      </c>
      <c r="H136" s="20" t="n">
        <v>1</v>
      </c>
      <c r="I136" s="20" t="n">
        <v>0</v>
      </c>
      <c r="J136" s="20" t="n">
        <v>1</v>
      </c>
      <c r="K136" s="20" t="n">
        <v>0</v>
      </c>
      <c r="L136" s="20" t="n">
        <v>0</v>
      </c>
      <c r="M136" s="20" t="n">
        <v>1</v>
      </c>
      <c r="N136" s="20" t="n">
        <v>1</v>
      </c>
      <c r="O136" s="20" t="n">
        <v>1</v>
      </c>
      <c r="P136" s="20" t="n">
        <v>0</v>
      </c>
      <c r="Q136" s="20" t="n">
        <v>1</v>
      </c>
      <c r="R136" s="20" t="n">
        <v>1</v>
      </c>
      <c r="S136" s="20" t="n">
        <v>0</v>
      </c>
      <c r="T136" s="20" t="n">
        <v>1</v>
      </c>
      <c r="U136" s="20" t="n">
        <v>0</v>
      </c>
      <c r="V136" s="20" t="n">
        <v>1</v>
      </c>
      <c r="W136" s="20" t="n">
        <v>1</v>
      </c>
      <c r="X136" s="20" t="n">
        <v>0</v>
      </c>
      <c r="Y136" s="20" t="n">
        <v>1</v>
      </c>
      <c r="Z136" s="20" t="n">
        <v>1</v>
      </c>
      <c r="AA136" s="20" t="n">
        <v>1</v>
      </c>
      <c r="AB136" s="20" t="n">
        <v>1</v>
      </c>
      <c r="AD136" s="20" t="n">
        <v>1</v>
      </c>
      <c r="AE136" s="20" t="n">
        <v>1</v>
      </c>
      <c r="AF136" s="20" t="n">
        <v>1</v>
      </c>
      <c r="AG136" s="20" t="n">
        <v>0</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P13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 width="13" customWidth="1" min="34" max="34"/>
    <col width="13" customWidth="1" min="35" max="35"/>
    <col width="13" customWidth="1" min="36" max="36"/>
    <col width="13" customWidth="1" min="37" max="37"/>
    <col width="13" customWidth="1" min="38" max="38"/>
    <col width="13" customWidth="1" min="39" max="39"/>
    <col width="13" customWidth="1" min="40" max="40"/>
    <col width="13" customWidth="1" min="41" max="41"/>
    <col width="13" customWidth="1" min="42" max="42"/>
  </cols>
  <sheetData>
    <row r="1">
      <c r="A1" s="1" t="inlineStr">
        <is>
          <t>Altı aylık nakit hesabı</t>
        </is>
      </c>
    </row>
    <row r="2">
      <c r="A2" s="3" t="inlineStr">
        <is>
          <t>Tutarlar ₺, KDV hariç. Mavi sütunlar girdi; sağdaki siyah sütunlar formül. Kurucu saati = kalan efor + müşteri × satış saati + ödeme adedi × (teslim saati + destek dakikası ÷ 60).</t>
        </is>
      </c>
    </row>
    <row r="4" ht="44" customHeight="1">
      <c r="A4" s="4" t="inlineStr">
        <is>
          <t>Kimlik</t>
        </is>
      </c>
      <c r="B4" s="4" t="inlineStr">
        <is>
          <t>Seçenek</t>
        </is>
      </c>
      <c r="C4" s="4" t="inlineStr">
        <is>
          <t>Satış tipi</t>
        </is>
      </c>
      <c r="D4" s="4" t="inlineStr">
        <is>
          <t>Net fiyat</t>
        </is>
      </c>
      <c r="E4" s="4" t="inlineStr">
        <is>
          <t>Ödeme başına değişken maliyet</t>
        </is>
      </c>
      <c r="F4" s="4" t="inlineStr">
        <is>
          <t>Aylık sabit gider</t>
        </is>
      </c>
      <c r="G4" s="4" t="inlineStr">
        <is>
          <t>Başlangıç harcaması</t>
        </is>
      </c>
      <c r="H4" s="4" t="inlineStr">
        <is>
          <t>Kalan efor en az (saat)</t>
        </is>
      </c>
      <c r="I4" s="4" t="inlineStr">
        <is>
          <t>Kalan efor beklenen</t>
        </is>
      </c>
      <c r="J4" s="4" t="inlineStr">
        <is>
          <t>Kalan efor en çok</t>
        </is>
      </c>
      <c r="K4" s="4" t="inlineStr">
        <is>
          <t>İlk tahsilat en erken (gün)</t>
        </is>
      </c>
      <c r="L4" s="4" t="inlineStr">
        <is>
          <t>İlk tahsilat en geç</t>
        </is>
      </c>
      <c r="M4" s="4" t="inlineStr">
        <is>
          <t>Satış başına kurucu saati</t>
        </is>
      </c>
      <c r="N4" s="4" t="inlineStr">
        <is>
          <t>Ödeme başına teslim saati</t>
        </is>
      </c>
      <c r="O4" s="4" t="inlineStr">
        <is>
          <t>Müşteri başına aylık destek (dk)</t>
        </is>
      </c>
      <c r="P4" s="4" t="inlineStr">
        <is>
          <t>Tahsilat kötü</t>
        </is>
      </c>
      <c r="Q4" s="4" t="inlineStr">
        <is>
          <t>Tahsilat baz</t>
        </is>
      </c>
      <c r="R4" s="4" t="inlineStr">
        <is>
          <t>Tahsilat iyi</t>
        </is>
      </c>
      <c r="S4" s="4" t="inlineStr">
        <is>
          <t>Ödeme adedi kötü</t>
        </is>
      </c>
      <c r="T4" s="4" t="inlineStr">
        <is>
          <t>Ödeme adedi baz</t>
        </is>
      </c>
      <c r="U4" s="4" t="inlineStr">
        <is>
          <t>Ödeme adedi iyi</t>
        </is>
      </c>
      <c r="V4" s="4" t="inlineStr">
        <is>
          <t>Müşteri kötü</t>
        </is>
      </c>
      <c r="W4" s="4" t="inlineStr">
        <is>
          <t>Müşteri baz</t>
        </is>
      </c>
      <c r="X4" s="4" t="inlineStr">
        <is>
          <t>Müşteri iyi</t>
        </is>
      </c>
      <c r="Y4" s="4" t="inlineStr">
        <is>
          <t>Dönüşüm düşük</t>
        </is>
      </c>
      <c r="Z4" s="4" t="inlineStr">
        <is>
          <t>Dönüşüm yüksek</t>
        </is>
      </c>
      <c r="AA4" s="4" t="inlineStr">
        <is>
          <t>Net nakit kötü</t>
        </is>
      </c>
      <c r="AB4" s="4" t="inlineStr">
        <is>
          <t>Net nakit baz</t>
        </is>
      </c>
      <c r="AC4" s="4" t="inlineStr">
        <is>
          <t>Net nakit iyi</t>
        </is>
      </c>
      <c r="AD4" s="4" t="inlineStr">
        <is>
          <t>Kurucu saati kötü</t>
        </is>
      </c>
      <c r="AE4" s="4" t="inlineStr">
        <is>
          <t>Kurucu saati baz</t>
        </is>
      </c>
      <c r="AF4" s="4" t="inlineStr">
        <is>
          <t>Kurucu saati iyi</t>
        </is>
      </c>
      <c r="AG4" s="4" t="inlineStr">
        <is>
          <t>Saat başı nakit (baz)</t>
        </is>
      </c>
      <c r="AH4" s="4" t="inlineStr">
        <is>
          <t>Müşteri başına katkı</t>
        </is>
      </c>
      <c r="AI4" s="4" t="inlineStr">
        <is>
          <t>Hedef için gereken müşteri</t>
        </is>
      </c>
      <c r="AJ4" s="4" t="inlineStr">
        <is>
          <t>Gereken aday en az</t>
        </is>
      </c>
      <c r="AK4" s="4" t="inlineStr">
        <is>
          <t>Gereken aday en çok</t>
        </is>
      </c>
      <c r="AL4" s="4" t="inlineStr">
        <is>
          <t>Riske edilen nakit</t>
        </is>
      </c>
      <c r="AM4" s="4" t="inlineStr">
        <is>
          <t>Baz hedefe ulaşıyor mu</t>
        </is>
      </c>
      <c r="AN4" s="4" t="inlineStr">
        <is>
          <t>Eşik saat ücretini geçiyor mu</t>
        </is>
      </c>
      <c r="AO4" s="4" t="inlineStr">
        <is>
          <t>Kapasite içinde mi</t>
        </is>
      </c>
      <c r="AP4" s="4" t="inlineStr">
        <is>
          <t>Net nakit baz (USD)</t>
        </is>
      </c>
    </row>
    <row r="5">
      <c r="A5" s="7" t="str">
        <f>Secenekler!A5</f>
        <v>zabuno-a</v>
      </c>
      <c r="B5" s="7" t="str">
        <f>Secenekler!C5</f>
        <v>Kafe aboneliği: kurulum dahil Restaurant planı</v>
      </c>
      <c r="C5" s="17" t="inlineStr">
        <is>
          <t>aylık abonelik</t>
        </is>
      </c>
      <c r="D5" s="15" t="n">
        <v>416</v>
      </c>
      <c r="E5" s="15" t="n">
        <v>20</v>
      </c>
      <c r="F5" s="15" t="n">
        <v>3600</v>
      </c>
      <c r="G5" s="15" t="n">
        <v>43000</v>
      </c>
      <c r="H5" s="15" t="n">
        <v>30</v>
      </c>
      <c r="I5" s="15" t="n">
        <v>70</v>
      </c>
      <c r="J5" s="15" t="n">
        <v>130</v>
      </c>
      <c r="K5" s="15" t="n">
        <v>45</v>
      </c>
      <c r="L5" s="15" t="n">
        <v>75</v>
      </c>
      <c r="M5" s="15" t="n">
        <v>2.5</v>
      </c>
      <c r="N5" s="15" t="n">
        <v>0.4</v>
      </c>
      <c r="O5" s="15" t="n">
        <v>15</v>
      </c>
      <c r="P5" s="15" t="n">
        <v>3328</v>
      </c>
      <c r="Q5" s="15" t="n">
        <v>11648</v>
      </c>
      <c r="R5" s="15" t="n">
        <v>33280</v>
      </c>
      <c r="S5" s="15" t="n">
        <v>8</v>
      </c>
      <c r="T5" s="15" t="n">
        <v>28</v>
      </c>
      <c r="U5" s="15" t="n">
        <v>80</v>
      </c>
      <c r="V5" s="15" t="n">
        <v>4</v>
      </c>
      <c r="W5" s="15" t="n">
        <v>12</v>
      </c>
      <c r="X5" s="15" t="n">
        <v>30</v>
      </c>
      <c r="Y5" s="21" t="n">
        <v>0.05</v>
      </c>
      <c r="Z5" s="21" t="n">
        <v>0.08</v>
      </c>
      <c r="AA5" s="10">
        <f>P5-S5*E5-6*F5-G5</f>
        <v>-61432</v>
      </c>
      <c r="AB5" s="10">
        <f>Q5-T5*E5-6*F5-G5</f>
        <v>-53512</v>
      </c>
      <c r="AC5" s="10">
        <f>R5-U5*E5-6*F5-G5</f>
        <v>-32920</v>
      </c>
      <c r="AD5" s="10">
        <f>J5+V5*M5+S5*(N5+O5/60)</f>
        <v>145.2</v>
      </c>
      <c r="AE5" s="10">
        <f>I5+W5*M5+T5*(N5+O5/60)</f>
        <v>118.2</v>
      </c>
      <c r="AF5" s="10">
        <f>H5+X5*M5+U5*(N5+O5/60)</f>
        <v>157</v>
      </c>
      <c r="AG5" s="10">
        <f>IF(AE5&gt;0,AB5/AE5,0)</f>
        <v>-452.7241962774958</v>
      </c>
      <c r="AH5" s="10">
        <f>IF(W5&gt;0,(Q5-T5*E5)/W5,D5-E5)</f>
        <v>924</v>
      </c>
      <c r="AI5" s="10">
        <f>IF(AH5&gt;0,(Hedef!$C$5+6*F5+G5)/AH5,0)</f>
        <v>225.7575757575758</v>
      </c>
      <c r="AJ5" s="10">
        <f>IF(AI5&gt;0,AI5/Z5,0)</f>
        <v>2821.969696969697</v>
      </c>
      <c r="AK5" s="10">
        <f>IF(AI5&gt;0,AI5/Y5,0)</f>
        <v>4515.151515151515</v>
      </c>
      <c r="AL5" s="10">
        <f>G5+F5*L5/30</f>
        <v>52000</v>
      </c>
      <c r="AM5" s="7" t="str">
        <f>IF(AB5&gt;=Hedef!$C$5,"evet","hayır")</f>
        <v>hayır</v>
      </c>
      <c r="AN5" s="7" t="str">
        <f>IF(AG5&gt;=Hedef!$C$8,"evet","hayır")</f>
        <v>hayır</v>
      </c>
      <c r="AO5" s="7" t="str">
        <f>IF(AE5&lt;=Hedef!$C$14,"evet","hayır")</f>
        <v>evet</v>
      </c>
      <c r="AP5" s="10">
        <f>AB5/Hedef!$C$4</f>
        <v>-1114.833333333333</v>
      </c>
    </row>
    <row r="6">
      <c r="A6" s="7" t="str">
        <f>Secenekler!A6</f>
        <v>zabuno-b</v>
      </c>
      <c r="B6" s="7" t="str">
        <f>Secenekler!C6</f>
        <v>Zincir planı: çok şubeli kahve zinciri pilotu</v>
      </c>
      <c r="C6" s="17" t="inlineStr">
        <is>
          <t>karma</t>
        </is>
      </c>
      <c r="D6" s="15" t="n">
        <v>5311</v>
      </c>
      <c r="E6" s="15" t="n">
        <v>0</v>
      </c>
      <c r="F6" s="15" t="n">
        <v>3600</v>
      </c>
      <c r="G6" s="15" t="n">
        <v>40000</v>
      </c>
      <c r="H6" s="15" t="n">
        <v>120</v>
      </c>
      <c r="I6" s="15" t="n">
        <v>200</v>
      </c>
      <c r="J6" s="15" t="n">
        <v>300</v>
      </c>
      <c r="K6" s="15" t="n">
        <v>120</v>
      </c>
      <c r="L6" s="15" t="n">
        <v>240</v>
      </c>
      <c r="M6" s="15" t="n">
        <v>30</v>
      </c>
      <c r="N6" s="15" t="n">
        <v>12</v>
      </c>
      <c r="O6" s="15" t="n">
        <v>180</v>
      </c>
      <c r="P6" s="15" t="n">
        <v>0</v>
      </c>
      <c r="Q6" s="15" t="n">
        <v>0</v>
      </c>
      <c r="R6" s="15" t="n">
        <v>15933</v>
      </c>
      <c r="S6" s="15" t="n">
        <v>0</v>
      </c>
      <c r="T6" s="15" t="n">
        <v>0</v>
      </c>
      <c r="U6" s="15" t="n">
        <v>3</v>
      </c>
      <c r="V6" s="15" t="n">
        <v>0</v>
      </c>
      <c r="W6" s="15" t="n">
        <v>0</v>
      </c>
      <c r="X6" s="15" t="n">
        <v>1</v>
      </c>
      <c r="Y6" s="21" t="n">
        <v>0.05</v>
      </c>
      <c r="Z6" s="21" t="n">
        <v>0.1</v>
      </c>
      <c r="AA6" s="10">
        <f>P6-S6*E6-6*F6-G6</f>
        <v>-61600</v>
      </c>
      <c r="AB6" s="10">
        <f>Q6-T6*E6-6*F6-G6</f>
        <v>-61600</v>
      </c>
      <c r="AC6" s="10">
        <f>R6-U6*E6-6*F6-G6</f>
        <v>-45667</v>
      </c>
      <c r="AD6" s="10">
        <f>J6+V6*M6+S6*(N6+O6/60)</f>
        <v>300</v>
      </c>
      <c r="AE6" s="10">
        <f>I6+W6*M6+T6*(N6+O6/60)</f>
        <v>200</v>
      </c>
      <c r="AF6" s="10">
        <f>H6+X6*M6+U6*(N6+O6/60)</f>
        <v>195</v>
      </c>
      <c r="AG6" s="10">
        <f>IF(AE6&gt;0,AB6/AE6,0)</f>
        <v>-308</v>
      </c>
      <c r="AH6" s="10">
        <f>IF(W6&gt;0,(Q6-T6*E6)/W6,D6-E6)</f>
        <v>5311</v>
      </c>
      <c r="AI6" s="10">
        <f>IF(AH6&gt;0,(Hedef!$C$5+6*F6+G6)/AH6,0)</f>
        <v>38.7121069478441</v>
      </c>
      <c r="AJ6" s="10">
        <f>IF(AI6&gt;0,AI6/Z6,0)</f>
        <v>387.121069478441</v>
      </c>
      <c r="AK6" s="10">
        <f>IF(AI6&gt;0,AI6/Y6,0)</f>
        <v>774.242138956882</v>
      </c>
      <c r="AL6" s="10">
        <f>G6+F6*L6/30</f>
        <v>68800</v>
      </c>
      <c r="AM6" s="7" t="str">
        <f>IF(AB6&gt;=Hedef!$C$5,"evet","hayır")</f>
        <v>hayır</v>
      </c>
      <c r="AN6" s="7" t="str">
        <f>IF(AG6&gt;=Hedef!$C$8,"evet","hayır")</f>
        <v>hayır</v>
      </c>
      <c r="AO6" s="7" t="str">
        <f>IF(AE6&lt;=Hedef!$C$14,"evet","hayır")</f>
        <v>evet</v>
      </c>
      <c r="AP6" s="10">
        <f>AB6/Hedef!$C$4</f>
        <v>-1283.333333333333</v>
      </c>
    </row>
    <row r="7">
      <c r="A7" s="7" t="str">
        <f>Secenekler!A7</f>
        <v>zabuno-c</v>
      </c>
      <c r="B7" s="7" t="str">
        <f>Secenekler!C7</f>
        <v>Restoran paneli modül uyarlama hizmeti</v>
      </c>
      <c r="C7" s="17" t="inlineStr">
        <is>
          <t>proje</t>
        </is>
      </c>
      <c r="D7" s="15" t="n">
        <v>30000</v>
      </c>
      <c r="E7" s="15" t="n">
        <v>0</v>
      </c>
      <c r="F7" s="15" t="n">
        <v>0</v>
      </c>
      <c r="G7" s="15" t="n">
        <v>500</v>
      </c>
      <c r="H7" s="15" t="n">
        <v>60</v>
      </c>
      <c r="I7" s="15" t="n">
        <v>100</v>
      </c>
      <c r="J7" s="15" t="n">
        <v>160</v>
      </c>
      <c r="K7" s="15" t="n">
        <v>45</v>
      </c>
      <c r="L7" s="15" t="n">
        <v>120</v>
      </c>
      <c r="M7" s="15" t="n">
        <v>8</v>
      </c>
      <c r="N7" s="15" t="n">
        <v>40</v>
      </c>
      <c r="O7" s="15" t="n">
        <v>60</v>
      </c>
      <c r="P7" s="15" t="n">
        <v>0</v>
      </c>
      <c r="Q7" s="15" t="n">
        <v>0</v>
      </c>
      <c r="R7" s="15" t="n">
        <v>30000</v>
      </c>
      <c r="S7" s="15" t="n">
        <v>0</v>
      </c>
      <c r="T7" s="15" t="n">
        <v>0</v>
      </c>
      <c r="U7" s="15" t="n">
        <v>1</v>
      </c>
      <c r="V7" s="15" t="n">
        <v>0</v>
      </c>
      <c r="W7" s="15" t="n">
        <v>0</v>
      </c>
      <c r="X7" s="15" t="n">
        <v>1</v>
      </c>
      <c r="Y7" s="21" t="n">
        <v>0.01</v>
      </c>
      <c r="Z7" s="21" t="n">
        <v>0.05</v>
      </c>
      <c r="AA7" s="10">
        <f>P7-S7*E7-6*F7-G7</f>
        <v>-500</v>
      </c>
      <c r="AB7" s="10">
        <f>Q7-T7*E7-6*F7-G7</f>
        <v>-500</v>
      </c>
      <c r="AC7" s="10">
        <f>R7-U7*E7-6*F7-G7</f>
        <v>29500</v>
      </c>
      <c r="AD7" s="10">
        <f>J7+V7*M7+S7*(N7+O7/60)</f>
        <v>160</v>
      </c>
      <c r="AE7" s="10">
        <f>I7+W7*M7+T7*(N7+O7/60)</f>
        <v>100</v>
      </c>
      <c r="AF7" s="10">
        <f>H7+X7*M7+U7*(N7+O7/60)</f>
        <v>109</v>
      </c>
      <c r="AG7" s="10">
        <f>IF(AE7&gt;0,AB7/AE7,0)</f>
        <v>-5</v>
      </c>
      <c r="AH7" s="10">
        <f>IF(W7&gt;0,(Q7-T7*E7)/W7,D7-E7)</f>
        <v>30000</v>
      </c>
      <c r="AI7" s="10">
        <f>IF(AH7&gt;0,(Hedef!$C$5+6*F7+G7)/AH7,0)</f>
        <v>4.816666666666666</v>
      </c>
      <c r="AJ7" s="10">
        <f>IF(AI7&gt;0,AI7/Z7,0)</f>
        <v>96.33333333333333</v>
      </c>
      <c r="AK7" s="10">
        <f>IF(AI7&gt;0,AI7/Y7,0)</f>
        <v>481.6666666666666</v>
      </c>
      <c r="AL7" s="10">
        <f>G7+F7*L7/30</f>
        <v>500</v>
      </c>
      <c r="AM7" s="7" t="str">
        <f>IF(AB7&gt;=Hedef!$C$5,"evet","hayır")</f>
        <v>hayır</v>
      </c>
      <c r="AN7" s="7" t="str">
        <f>IF(AG7&gt;=Hedef!$C$8,"evet","hayır")</f>
        <v>hayır</v>
      </c>
      <c r="AO7" s="7" t="str">
        <f>IF(AE7&lt;=Hedef!$C$14,"evet","hayır")</f>
        <v>evet</v>
      </c>
      <c r="AP7" s="10">
        <f>AB7/Hedef!$C$4</f>
        <v>-10.41666666666667</v>
      </c>
    </row>
    <row r="8">
      <c r="A8" s="7" t="str">
        <f>Secenekler!A8</f>
        <v>parselq-a</v>
      </c>
      <c r="B8" s="7" t="str">
        <f>Secenekler!C8</f>
        <v>ParselQ Rapor: tek parsel bilgi notu (bireysel alıcı)</v>
      </c>
      <c r="C8" s="17" t="inlineStr">
        <is>
          <t>tek seferlik</t>
        </is>
      </c>
      <c r="D8" s="15" t="n">
        <v>416</v>
      </c>
      <c r="E8" s="15" t="n">
        <v>47</v>
      </c>
      <c r="F8" s="15" t="n">
        <v>5000</v>
      </c>
      <c r="G8" s="15" t="n">
        <v>25000</v>
      </c>
      <c r="H8" s="15" t="n">
        <v>110</v>
      </c>
      <c r="I8" s="15" t="n">
        <v>170</v>
      </c>
      <c r="J8" s="15" t="n">
        <v>240</v>
      </c>
      <c r="K8" s="15" t="n">
        <v>35</v>
      </c>
      <c r="L8" s="15" t="n">
        <v>100</v>
      </c>
      <c r="M8" s="15" t="n">
        <v>1</v>
      </c>
      <c r="N8" s="15" t="n">
        <v>0.5</v>
      </c>
      <c r="O8" s="15" t="n">
        <v>15</v>
      </c>
      <c r="P8" s="15" t="n">
        <v>4160</v>
      </c>
      <c r="Q8" s="15" t="n">
        <v>12480</v>
      </c>
      <c r="R8" s="15" t="n">
        <v>43680</v>
      </c>
      <c r="S8" s="15" t="n">
        <v>10</v>
      </c>
      <c r="T8" s="15" t="n">
        <v>30</v>
      </c>
      <c r="U8" s="15" t="n">
        <v>105</v>
      </c>
      <c r="V8" s="15" t="n">
        <v>9</v>
      </c>
      <c r="W8" s="15" t="n">
        <v>26</v>
      </c>
      <c r="X8" s="15" t="n">
        <v>91</v>
      </c>
      <c r="Y8" s="21" t="n">
        <v>0.015</v>
      </c>
      <c r="Z8" s="21" t="n">
        <v>0.08</v>
      </c>
      <c r="AA8" s="10">
        <f>P8-S8*E8-6*F8-G8</f>
        <v>-51310</v>
      </c>
      <c r="AB8" s="10">
        <f>Q8-T8*E8-6*F8-G8</f>
        <v>-43930</v>
      </c>
      <c r="AC8" s="10">
        <f>R8-U8*E8-6*F8-G8</f>
        <v>-16255</v>
      </c>
      <c r="AD8" s="10">
        <f>J8+V8*M8+S8*(N8+O8/60)</f>
        <v>256.5</v>
      </c>
      <c r="AE8" s="10">
        <f>I8+W8*M8+T8*(N8+O8/60)</f>
        <v>218.5</v>
      </c>
      <c r="AF8" s="10">
        <f>H8+X8*M8+U8*(N8+O8/60)</f>
        <v>279.75</v>
      </c>
      <c r="AG8" s="10">
        <f>IF(AE8&gt;0,AB8/AE8,0)</f>
        <v>-201.0526315789474</v>
      </c>
      <c r="AH8" s="10">
        <f>IF(W8&gt;0,(Q8-T8*E8)/W8,D8-E8)</f>
        <v>425.7692307692308</v>
      </c>
      <c r="AI8" s="10">
        <f>IF(AH8&gt;0,(Hedef!$C$5+6*F8+G8)/AH8,0)</f>
        <v>467.3893405600722</v>
      </c>
      <c r="AJ8" s="10">
        <f>IF(AI8&gt;0,AI8/Z8,0)</f>
        <v>5842.366757000903</v>
      </c>
      <c r="AK8" s="10">
        <f>IF(AI8&gt;0,AI8/Y8,0)</f>
        <v>31159.28937067148</v>
      </c>
      <c r="AL8" s="10">
        <f>G8+F8*L8/30</f>
        <v>41666.66666666667</v>
      </c>
      <c r="AM8" s="7" t="str">
        <f>IF(AB8&gt;=Hedef!$C$5,"evet","hayır")</f>
        <v>hayır</v>
      </c>
      <c r="AN8" s="7" t="str">
        <f>IF(AG8&gt;=Hedef!$C$8,"evet","hayır")</f>
        <v>hayır</v>
      </c>
      <c r="AO8" s="7" t="str">
        <f>IF(AE8&lt;=Hedef!$C$14,"evet","hayır")</f>
        <v>evet</v>
      </c>
      <c r="AP8" s="10">
        <f>AB8/Hedef!$C$4</f>
        <v>-915.2083333333334</v>
      </c>
    </row>
    <row r="9">
      <c r="A9" s="7" t="str">
        <f>Secenekler!A9</f>
        <v>parselq-b</v>
      </c>
      <c r="B9" s="7" t="str">
        <f>Secenekler!C9</f>
        <v>Parsel Kartı: emlakçıya arsa ilanı için güven kartı aboneliği</v>
      </c>
      <c r="C9" s="17" t="inlineStr">
        <is>
          <t>aylık abonelik</t>
        </is>
      </c>
      <c r="D9" s="15" t="n">
        <v>332</v>
      </c>
      <c r="E9" s="15" t="n">
        <v>25</v>
      </c>
      <c r="F9" s="15" t="n">
        <v>4500</v>
      </c>
      <c r="G9" s="15" t="n">
        <v>20000</v>
      </c>
      <c r="H9" s="15" t="n">
        <v>30</v>
      </c>
      <c r="I9" s="15" t="n">
        <v>70</v>
      </c>
      <c r="J9" s="15" t="n">
        <v>120</v>
      </c>
      <c r="K9" s="15" t="n">
        <v>45</v>
      </c>
      <c r="L9" s="15" t="n">
        <v>80</v>
      </c>
      <c r="M9" s="15" t="n">
        <v>2</v>
      </c>
      <c r="N9" s="15" t="n">
        <v>1.8</v>
      </c>
      <c r="O9" s="15" t="n">
        <v>30</v>
      </c>
      <c r="P9" s="15" t="n">
        <v>3320</v>
      </c>
      <c r="Q9" s="15" t="n">
        <v>12616</v>
      </c>
      <c r="R9" s="15" t="n">
        <v>33200</v>
      </c>
      <c r="S9" s="15" t="n">
        <v>10</v>
      </c>
      <c r="T9" s="15" t="n">
        <v>38</v>
      </c>
      <c r="U9" s="15" t="n">
        <v>100</v>
      </c>
      <c r="V9" s="15" t="n">
        <v>4</v>
      </c>
      <c r="W9" s="15" t="n">
        <v>14</v>
      </c>
      <c r="X9" s="15" t="n">
        <v>30</v>
      </c>
      <c r="Y9" s="21" t="n">
        <v>0.05</v>
      </c>
      <c r="Z9" s="21" t="n">
        <v>0.15</v>
      </c>
      <c r="AA9" s="10">
        <f>P9-S9*E9-6*F9-G9</f>
        <v>-43930</v>
      </c>
      <c r="AB9" s="10">
        <f>Q9-T9*E9-6*F9-G9</f>
        <v>-35334</v>
      </c>
      <c r="AC9" s="10">
        <f>R9-U9*E9-6*F9-G9</f>
        <v>-16300</v>
      </c>
      <c r="AD9" s="10">
        <f>J9+V9*M9+S9*(N9+O9/60)</f>
        <v>151</v>
      </c>
      <c r="AE9" s="10">
        <f>I9+W9*M9+T9*(N9+O9/60)</f>
        <v>185.4</v>
      </c>
      <c r="AF9" s="10">
        <f>H9+X9*M9+U9*(N9+O9/60)</f>
        <v>320</v>
      </c>
      <c r="AG9" s="10">
        <f>IF(AE9&gt;0,AB9/AE9,0)</f>
        <v>-190.5825242718447</v>
      </c>
      <c r="AH9" s="10">
        <f>IF(W9&gt;0,(Q9-T9*E9)/W9,D9-E9)</f>
        <v>833.2857142857143</v>
      </c>
      <c r="AI9" s="10">
        <f>IF(AH9&gt;0,(Hedef!$C$5+6*F9+G9)/AH9,0)</f>
        <v>229.2130978913081</v>
      </c>
      <c r="AJ9" s="10">
        <f>IF(AI9&gt;0,AI9/Z9,0)</f>
        <v>1528.087319275387</v>
      </c>
      <c r="AK9" s="10">
        <f>IF(AI9&gt;0,AI9/Y9,0)</f>
        <v>4584.261957826161</v>
      </c>
      <c r="AL9" s="10">
        <f>G9+F9*L9/30</f>
        <v>32000</v>
      </c>
      <c r="AM9" s="7" t="str">
        <f>IF(AB9&gt;=Hedef!$C$5,"evet","hayır")</f>
        <v>hayır</v>
      </c>
      <c r="AN9" s="7" t="str">
        <f>IF(AG9&gt;=Hedef!$C$8,"evet","hayır")</f>
        <v>hayır</v>
      </c>
      <c r="AO9" s="7" t="str">
        <f>IF(AE9&lt;=Hedef!$C$14,"evet","hayır")</f>
        <v>evet</v>
      </c>
      <c r="AP9" s="10">
        <f>AB9/Hedef!$C$4</f>
        <v>-736.125</v>
      </c>
    </row>
    <row r="10">
      <c r="A10" s="7" t="str">
        <f>Secenekler!A10</f>
        <v>parselq-c</v>
      </c>
      <c r="B10" s="7" t="str">
        <f>Secenekler!C10</f>
        <v>Uzmanlı karar dosyası: kaynak izli arsa raporu (danışmanlık ofisi)</v>
      </c>
      <c r="C10" s="17" t="inlineStr">
        <is>
          <t>proje</t>
        </is>
      </c>
      <c r="D10" s="15" t="n">
        <v>4000</v>
      </c>
      <c r="E10" s="15" t="n">
        <v>1020</v>
      </c>
      <c r="F10" s="15" t="n">
        <v>1500</v>
      </c>
      <c r="G10" s="15" t="n">
        <v>5000</v>
      </c>
      <c r="H10" s="15" t="n">
        <v>30</v>
      </c>
      <c r="I10" s="15" t="n">
        <v>60</v>
      </c>
      <c r="J10" s="15" t="n">
        <v>110</v>
      </c>
      <c r="K10" s="15" t="n">
        <v>30</v>
      </c>
      <c r="L10" s="15" t="n">
        <v>90</v>
      </c>
      <c r="M10" s="15" t="n">
        <v>12</v>
      </c>
      <c r="N10" s="15" t="n">
        <v>10</v>
      </c>
      <c r="O10" s="15" t="n">
        <v>30</v>
      </c>
      <c r="P10" s="15" t="n">
        <v>0</v>
      </c>
      <c r="Q10" s="15" t="n">
        <v>8000</v>
      </c>
      <c r="R10" s="15" t="n">
        <v>24000</v>
      </c>
      <c r="S10" s="15" t="n">
        <v>0</v>
      </c>
      <c r="T10" s="15" t="n">
        <v>2</v>
      </c>
      <c r="U10" s="15" t="n">
        <v>6</v>
      </c>
      <c r="V10" s="15" t="n">
        <v>0</v>
      </c>
      <c r="W10" s="15" t="n">
        <v>1</v>
      </c>
      <c r="X10" s="15" t="n">
        <v>3</v>
      </c>
      <c r="Y10" s="21" t="n">
        <v>0.02</v>
      </c>
      <c r="Z10" s="21" t="n">
        <v>0.1</v>
      </c>
      <c r="AA10" s="10">
        <f>P10-S10*E10-6*F10-G10</f>
        <v>-14000</v>
      </c>
      <c r="AB10" s="10">
        <f>Q10-T10*E10-6*F10-G10</f>
        <v>-8040</v>
      </c>
      <c r="AC10" s="10">
        <f>R10-U10*E10-6*F10-G10</f>
        <v>3880</v>
      </c>
      <c r="AD10" s="10">
        <f>J10+V10*M10+S10*(N10+O10/60)</f>
        <v>110</v>
      </c>
      <c r="AE10" s="10">
        <f>I10+W10*M10+T10*(N10+O10/60)</f>
        <v>93</v>
      </c>
      <c r="AF10" s="10">
        <f>H10+X10*M10+U10*(N10+O10/60)</f>
        <v>129</v>
      </c>
      <c r="AG10" s="10">
        <f>IF(AE10&gt;0,AB10/AE10,0)</f>
        <v>-86.45161290322581</v>
      </c>
      <c r="AH10" s="10">
        <f>IF(W10&gt;0,(Q10-T10*E10)/W10,D10-E10)</f>
        <v>5960</v>
      </c>
      <c r="AI10" s="10">
        <f>IF(AH10&gt;0,(Hedef!$C$5+6*F10+G10)/AH10,0)</f>
        <v>26.51006711409396</v>
      </c>
      <c r="AJ10" s="10">
        <f>IF(AI10&gt;0,AI10/Z10,0)</f>
        <v>265.1006711409396</v>
      </c>
      <c r="AK10" s="10">
        <f>IF(AI10&gt;0,AI10/Y10,0)</f>
        <v>1325.503355704698</v>
      </c>
      <c r="AL10" s="10">
        <f>G10+F10*L10/30</f>
        <v>9500</v>
      </c>
      <c r="AM10" s="7" t="str">
        <f>IF(AB10&gt;=Hedef!$C$5,"evet","hayır")</f>
        <v>hayır</v>
      </c>
      <c r="AN10" s="7" t="str">
        <f>IF(AG10&gt;=Hedef!$C$8,"evet","hayır")</f>
        <v>hayır</v>
      </c>
      <c r="AO10" s="7" t="str">
        <f>IF(AE10&lt;=Hedef!$C$14,"evet","hayır")</f>
        <v>evet</v>
      </c>
      <c r="AP10" s="10">
        <f>AB10/Hedef!$C$4</f>
        <v>-167.5</v>
      </c>
    </row>
    <row r="11">
      <c r="A11" s="7" t="str">
        <f>Secenekler!A11</f>
        <v>destektesvik-a</v>
      </c>
      <c r="B11" s="7" t="str">
        <f>Secenekler!C11</f>
        <v>Uzman onaylı ön değerlendirme raporu (KOBİ)</v>
      </c>
      <c r="C11" s="17" t="inlineStr">
        <is>
          <t>tek seferlik</t>
        </is>
      </c>
      <c r="D11" s="15" t="n">
        <v>2990</v>
      </c>
      <c r="E11" s="15" t="n">
        <v>2090</v>
      </c>
      <c r="F11" s="15" t="n">
        <v>8000</v>
      </c>
      <c r="G11" s="15" t="n">
        <v>30000</v>
      </c>
      <c r="H11" s="15" t="n">
        <v>80</v>
      </c>
      <c r="I11" s="15" t="n">
        <v>120</v>
      </c>
      <c r="J11" s="15" t="n">
        <v>200</v>
      </c>
      <c r="K11" s="15" t="n">
        <v>35</v>
      </c>
      <c r="L11" s="15" t="n">
        <v>120</v>
      </c>
      <c r="M11" s="15" t="n">
        <v>3</v>
      </c>
      <c r="N11" s="15" t="n">
        <v>4</v>
      </c>
      <c r="O11" s="15" t="n">
        <v>20</v>
      </c>
      <c r="P11" s="15" t="n">
        <v>0</v>
      </c>
      <c r="Q11" s="15" t="n">
        <v>14950</v>
      </c>
      <c r="R11" s="15" t="n">
        <v>59800</v>
      </c>
      <c r="S11" s="15" t="n">
        <v>0</v>
      </c>
      <c r="T11" s="15" t="n">
        <v>5</v>
      </c>
      <c r="U11" s="15" t="n">
        <v>20</v>
      </c>
      <c r="V11" s="15" t="n">
        <v>0</v>
      </c>
      <c r="W11" s="15" t="n">
        <v>5</v>
      </c>
      <c r="X11" s="15" t="n">
        <v>20</v>
      </c>
      <c r="Y11" s="21" t="n">
        <v>0.02</v>
      </c>
      <c r="Z11" s="21" t="n">
        <v>0.08</v>
      </c>
      <c r="AA11" s="10">
        <f>P11-S11*E11-6*F11-G11</f>
        <v>-78000</v>
      </c>
      <c r="AB11" s="10">
        <f>Q11-T11*E11-6*F11-G11</f>
        <v>-73500</v>
      </c>
      <c r="AC11" s="10">
        <f>R11-U11*E11-6*F11-G11</f>
        <v>-60000</v>
      </c>
      <c r="AD11" s="10">
        <f>J11+V11*M11+S11*(N11+O11/60)</f>
        <v>200</v>
      </c>
      <c r="AE11" s="10">
        <f>I11+W11*M11+T11*(N11+O11/60)</f>
        <v>156.6666666666667</v>
      </c>
      <c r="AF11" s="10">
        <f>H11+X11*M11+U11*(N11+O11/60)</f>
        <v>226.6666666666667</v>
      </c>
      <c r="AG11" s="10">
        <f>IF(AE11&gt;0,AB11/AE11,0)</f>
        <v>-469.1489361702128</v>
      </c>
      <c r="AH11" s="10">
        <f>IF(W11&gt;0,(Q11-T11*E11)/W11,D11-E11)</f>
        <v>900</v>
      </c>
      <c r="AI11" s="10">
        <f>IF(AH11&gt;0,(Hedef!$C$5+6*F11+G11)/AH11,0)</f>
        <v>246.6666666666667</v>
      </c>
      <c r="AJ11" s="10">
        <f>IF(AI11&gt;0,AI11/Z11,0)</f>
        <v>3083.333333333333</v>
      </c>
      <c r="AK11" s="10">
        <f>IF(AI11&gt;0,AI11/Y11,0)</f>
        <v>12333.33333333333</v>
      </c>
      <c r="AL11" s="10">
        <f>G11+F11*L11/30</f>
        <v>62000</v>
      </c>
      <c r="AM11" s="7" t="str">
        <f>IF(AB11&gt;=Hedef!$C$5,"evet","hayır")</f>
        <v>hayır</v>
      </c>
      <c r="AN11" s="7" t="str">
        <f>IF(AG11&gt;=Hedef!$C$8,"evet","hayır")</f>
        <v>hayır</v>
      </c>
      <c r="AO11" s="7" t="str">
        <f>IF(AE11&lt;=Hedef!$C$14,"evet","hayır")</f>
        <v>evet</v>
      </c>
      <c r="AP11" s="10">
        <f>AB11/Hedef!$C$4</f>
        <v>-1531.25</v>
      </c>
    </row>
    <row r="12">
      <c r="A12" s="7" t="str">
        <f>Secenekler!A12</f>
        <v>destektesvik-b</v>
      </c>
      <c r="B12" s="7" t="str">
        <f>Secenekler!C12</f>
        <v>Mali müşavir ve danışman portföy tarama paketi</v>
      </c>
      <c r="C12" s="17" t="inlineStr">
        <is>
          <t>aylık abonelik</t>
        </is>
      </c>
      <c r="D12" s="15" t="n">
        <v>2990</v>
      </c>
      <c r="E12" s="15" t="n">
        <v>1000</v>
      </c>
      <c r="F12" s="15" t="n">
        <v>6000</v>
      </c>
      <c r="G12" s="15" t="n">
        <v>55000</v>
      </c>
      <c r="H12" s="15" t="n">
        <v>160</v>
      </c>
      <c r="I12" s="15" t="n">
        <v>210</v>
      </c>
      <c r="J12" s="15" t="n">
        <v>280</v>
      </c>
      <c r="K12" s="15" t="n">
        <v>100</v>
      </c>
      <c r="L12" s="15" t="n">
        <v>180</v>
      </c>
      <c r="M12" s="15" t="n">
        <v>8</v>
      </c>
      <c r="N12" s="15" t="n">
        <v>6</v>
      </c>
      <c r="O12" s="15" t="n">
        <v>24</v>
      </c>
      <c r="P12" s="15" t="n">
        <v>0</v>
      </c>
      <c r="Q12" s="15" t="n">
        <v>0</v>
      </c>
      <c r="R12" s="15" t="n">
        <v>26910</v>
      </c>
      <c r="S12" s="15" t="n">
        <v>0</v>
      </c>
      <c r="T12" s="15" t="n">
        <v>0</v>
      </c>
      <c r="U12" s="15" t="n">
        <v>9</v>
      </c>
      <c r="V12" s="15" t="n">
        <v>0</v>
      </c>
      <c r="W12" s="15" t="n">
        <v>0</v>
      </c>
      <c r="X12" s="15" t="n">
        <v>5</v>
      </c>
      <c r="Y12" s="21" t="n">
        <v>0.05</v>
      </c>
      <c r="Z12" s="21" t="n">
        <v>0.15</v>
      </c>
      <c r="AA12" s="10">
        <f>P12-S12*E12-6*F12-G12</f>
        <v>-91000</v>
      </c>
      <c r="AB12" s="10">
        <f>Q12-T12*E12-6*F12-G12</f>
        <v>-91000</v>
      </c>
      <c r="AC12" s="10">
        <f>R12-U12*E12-6*F12-G12</f>
        <v>-73090</v>
      </c>
      <c r="AD12" s="10">
        <f>J12+V12*M12+S12*(N12+O12/60)</f>
        <v>280</v>
      </c>
      <c r="AE12" s="10">
        <f>I12+W12*M12+T12*(N12+O12/60)</f>
        <v>210</v>
      </c>
      <c r="AF12" s="10">
        <f>H12+X12*M12+U12*(N12+O12/60)</f>
        <v>257.6</v>
      </c>
      <c r="AG12" s="10">
        <f>IF(AE12&gt;0,AB12/AE12,0)</f>
        <v>-433.3333333333333</v>
      </c>
      <c r="AH12" s="10">
        <f>IF(W12&gt;0,(Q12-T12*E12)/W12,D12-E12)</f>
        <v>1990</v>
      </c>
      <c r="AI12" s="10">
        <f>IF(AH12&gt;0,(Hedef!$C$5+6*F12+G12)/AH12,0)</f>
        <v>118.0904522613065</v>
      </c>
      <c r="AJ12" s="10">
        <f>IF(AI12&gt;0,AI12/Z12,0)</f>
        <v>787.2696817420436</v>
      </c>
      <c r="AK12" s="10">
        <f>IF(AI12&gt;0,AI12/Y12,0)</f>
        <v>2361.809045226131</v>
      </c>
      <c r="AL12" s="10">
        <f>G12+F12*L12/30</f>
        <v>91000</v>
      </c>
      <c r="AM12" s="7" t="str">
        <f>IF(AB12&gt;=Hedef!$C$5,"evet","hayır")</f>
        <v>hayır</v>
      </c>
      <c r="AN12" s="7" t="str">
        <f>IF(AG12&gt;=Hedef!$C$8,"evet","hayır")</f>
        <v>hayır</v>
      </c>
      <c r="AO12" s="7" t="str">
        <f>IF(AE12&lt;=Hedef!$C$14,"evet","hayır")</f>
        <v>evet</v>
      </c>
      <c r="AP12" s="10">
        <f>AB12/Hedef!$C$4</f>
        <v>-1895.833333333333</v>
      </c>
    </row>
    <row r="13">
      <c r="A13" s="7" t="str">
        <f>Secenekler!A13</f>
        <v>destektesvik-c</v>
      </c>
      <c r="B13" s="7" t="str">
        <f>Secenekler!C13</f>
        <v>Oda ve OSB üye taraması sponsorluk paketi</v>
      </c>
      <c r="C13" s="17" t="inlineStr">
        <is>
          <t>yıllık peşin</t>
        </is>
      </c>
      <c r="D13" s="15" t="n">
        <v>60000</v>
      </c>
      <c r="E13" s="15" t="n">
        <v>6000</v>
      </c>
      <c r="F13" s="15" t="n">
        <v>6000</v>
      </c>
      <c r="G13" s="15" t="n">
        <v>35000</v>
      </c>
      <c r="H13" s="15" t="n">
        <v>120</v>
      </c>
      <c r="I13" s="15" t="n">
        <v>180</v>
      </c>
      <c r="J13" s="15" t="n">
        <v>260</v>
      </c>
      <c r="K13" s="15" t="n">
        <v>120</v>
      </c>
      <c r="L13" s="15" t="n">
        <v>270</v>
      </c>
      <c r="M13" s="15" t="n">
        <v>30</v>
      </c>
      <c r="N13" s="15" t="n">
        <v>60</v>
      </c>
      <c r="O13" s="15" t="n">
        <v>60</v>
      </c>
      <c r="P13" s="15" t="n">
        <v>0</v>
      </c>
      <c r="Q13" s="15" t="n">
        <v>0</v>
      </c>
      <c r="R13" s="15" t="n">
        <v>60000</v>
      </c>
      <c r="S13" s="15" t="n">
        <v>0</v>
      </c>
      <c r="T13" s="15" t="n">
        <v>0</v>
      </c>
      <c r="U13" s="15" t="n">
        <v>1</v>
      </c>
      <c r="V13" s="15" t="n">
        <v>0</v>
      </c>
      <c r="W13" s="15" t="n">
        <v>0</v>
      </c>
      <c r="X13" s="15" t="n">
        <v>1</v>
      </c>
      <c r="Y13" s="21" t="n">
        <v>0.05</v>
      </c>
      <c r="Z13" s="21" t="n">
        <v>0.15</v>
      </c>
      <c r="AA13" s="10">
        <f>P13-S13*E13-6*F13-G13</f>
        <v>-71000</v>
      </c>
      <c r="AB13" s="10">
        <f>Q13-T13*E13-6*F13-G13</f>
        <v>-71000</v>
      </c>
      <c r="AC13" s="10">
        <f>R13-U13*E13-6*F13-G13</f>
        <v>-17000</v>
      </c>
      <c r="AD13" s="10">
        <f>J13+V13*M13+S13*(N13+O13/60)</f>
        <v>260</v>
      </c>
      <c r="AE13" s="10">
        <f>I13+W13*M13+T13*(N13+O13/60)</f>
        <v>180</v>
      </c>
      <c r="AF13" s="10">
        <f>H13+X13*M13+U13*(N13+O13/60)</f>
        <v>211</v>
      </c>
      <c r="AG13" s="10">
        <f>IF(AE13&gt;0,AB13/AE13,0)</f>
        <v>-394.4444444444445</v>
      </c>
      <c r="AH13" s="10">
        <f>IF(W13&gt;0,(Q13-T13*E13)/W13,D13-E13)</f>
        <v>54000</v>
      </c>
      <c r="AI13" s="10">
        <f>IF(AH13&gt;0,(Hedef!$C$5+6*F13+G13)/AH13,0)</f>
        <v>3.981481481481481</v>
      </c>
      <c r="AJ13" s="10">
        <f>IF(AI13&gt;0,AI13/Z13,0)</f>
        <v>26.54320987654321</v>
      </c>
      <c r="AK13" s="10">
        <f>IF(AI13&gt;0,AI13/Y13,0)</f>
        <v>79.62962962962962</v>
      </c>
      <c r="AL13" s="10">
        <f>G13+F13*L13/30</f>
        <v>89000</v>
      </c>
      <c r="AM13" s="7" t="str">
        <f>IF(AB13&gt;=Hedef!$C$5,"evet","hayır")</f>
        <v>hayır</v>
      </c>
      <c r="AN13" s="7" t="str">
        <f>IF(AG13&gt;=Hedef!$C$8,"evet","hayır")</f>
        <v>hayır</v>
      </c>
      <c r="AO13" s="7" t="str">
        <f>IF(AE13&lt;=Hedef!$C$14,"evet","hayır")</f>
        <v>evet</v>
      </c>
      <c r="AP13" s="10">
        <f>AB13/Hedef!$C$4</f>
        <v>-1479.166666666667</v>
      </c>
    </row>
    <row r="14">
      <c r="A14" s="7" t="str">
        <f>Secenekler!A14</f>
        <v>asgari-iscilik-a</v>
      </c>
      <c r="B14" s="7" t="str">
        <f>Secenekler!C14</f>
        <v>Bir inşaat firmasına sabit fiyatlı uyum yazılımı projesi</v>
      </c>
      <c r="C14" s="17" t="inlineStr">
        <is>
          <t>proje</t>
        </is>
      </c>
      <c r="D14" s="15" t="n">
        <v>360000</v>
      </c>
      <c r="E14" s="15" t="n">
        <v>0</v>
      </c>
      <c r="F14" s="15" t="n">
        <v>12000</v>
      </c>
      <c r="G14" s="15" t="n">
        <v>20000</v>
      </c>
      <c r="H14" s="15" t="n">
        <v>40</v>
      </c>
      <c r="I14" s="15" t="n">
        <v>60</v>
      </c>
      <c r="J14" s="15" t="n">
        <v>100</v>
      </c>
      <c r="K14" s="15" t="n">
        <v>45</v>
      </c>
      <c r="L14" s="15" t="n">
        <v>90</v>
      </c>
      <c r="M14" s="15" t="n">
        <v>25</v>
      </c>
      <c r="N14" s="15" t="n">
        <v>720</v>
      </c>
      <c r="O14" s="15" t="n">
        <v>120</v>
      </c>
      <c r="P14" s="15" t="n">
        <v>0</v>
      </c>
      <c r="Q14" s="15" t="n">
        <v>108000</v>
      </c>
      <c r="R14" s="15" t="n">
        <v>108000</v>
      </c>
      <c r="S14" s="15" t="n">
        <v>0</v>
      </c>
      <c r="T14" s="15" t="n">
        <v>1</v>
      </c>
      <c r="U14" s="15" t="n">
        <v>1</v>
      </c>
      <c r="V14" s="15" t="n">
        <v>0</v>
      </c>
      <c r="W14" s="15" t="n">
        <v>1</v>
      </c>
      <c r="X14" s="15" t="n">
        <v>1</v>
      </c>
      <c r="Y14" s="21" t="n">
        <v>0.1</v>
      </c>
      <c r="Z14" s="21" t="n">
        <v>0.5</v>
      </c>
      <c r="AA14" s="10">
        <f>P14-S14*E14-6*F14-G14</f>
        <v>-92000</v>
      </c>
      <c r="AB14" s="10">
        <f>Q14-T14*E14-6*F14-G14</f>
        <v>16000</v>
      </c>
      <c r="AC14" s="10">
        <f>R14-U14*E14-6*F14-G14</f>
        <v>16000</v>
      </c>
      <c r="AD14" s="10">
        <f>J14+V14*M14+S14*(N14+O14/60)</f>
        <v>100</v>
      </c>
      <c r="AE14" s="10">
        <f>I14+W14*M14+T14*(N14+O14/60)</f>
        <v>807</v>
      </c>
      <c r="AF14" s="10">
        <f>H14+X14*M14+U14*(N14+O14/60)</f>
        <v>787</v>
      </c>
      <c r="AG14" s="10">
        <f>IF(AE14&gt;0,AB14/AE14,0)</f>
        <v>19.82651796778191</v>
      </c>
      <c r="AH14" s="10">
        <f>IF(W14&gt;0,(Q14-T14*E14)/W14,D14-E14)</f>
        <v>108000</v>
      </c>
      <c r="AI14" s="10">
        <f>IF(AH14&gt;0,(Hedef!$C$5+6*F14+G14)/AH14,0)</f>
        <v>2.185185185185185</v>
      </c>
      <c r="AJ14" s="10">
        <f>IF(AI14&gt;0,AI14/Z14,0)</f>
        <v>4.37037037037037</v>
      </c>
      <c r="AK14" s="10">
        <f>IF(AI14&gt;0,AI14/Y14,0)</f>
        <v>21.85185185185185</v>
      </c>
      <c r="AL14" s="10">
        <f>G14+F14*L14/30</f>
        <v>56000</v>
      </c>
      <c r="AM14" s="7" t="str">
        <f>IF(AB14&gt;=Hedef!$C$5,"evet","hayır")</f>
        <v>hayır</v>
      </c>
      <c r="AN14" s="7" t="str">
        <f>IF(AG14&gt;=Hedef!$C$8,"evet","hayır")</f>
        <v>hayır</v>
      </c>
      <c r="AO14" s="7" t="str">
        <f>IF(AE14&lt;=Hedef!$C$14,"evet","hayır")</f>
        <v>hayır</v>
      </c>
      <c r="AP14" s="10">
        <f>AB14/Hedef!$C$4</f>
        <v>333.3333333333333</v>
      </c>
    </row>
    <row r="15">
      <c r="A15" s="7" t="str">
        <f>Secenekler!A15</f>
        <v>asgari-iscilik-b</v>
      </c>
      <c r="B15" s="7" t="str">
        <f>Secenekler!C15</f>
        <v>Mali müşavir ve yükleniciye aylık abonelik (çok kiracılı platform)</v>
      </c>
      <c r="C15" s="17" t="inlineStr">
        <is>
          <t>aylık abonelik</t>
        </is>
      </c>
      <c r="D15" s="15" t="n">
        <v>2490</v>
      </c>
      <c r="E15" s="15" t="n">
        <v>110</v>
      </c>
      <c r="F15" s="15" t="n">
        <v>16000</v>
      </c>
      <c r="G15" s="15" t="n">
        <v>40000</v>
      </c>
      <c r="H15" s="15" t="n">
        <v>600</v>
      </c>
      <c r="I15" s="15" t="n">
        <v>850</v>
      </c>
      <c r="J15" s="15" t="n">
        <v>1200</v>
      </c>
      <c r="K15" s="15" t="n">
        <v>150</v>
      </c>
      <c r="L15" s="15" t="n">
        <v>270</v>
      </c>
      <c r="M15" s="15" t="n">
        <v>8</v>
      </c>
      <c r="N15" s="15" t="n">
        <v>4</v>
      </c>
      <c r="O15" s="15" t="n">
        <v>30</v>
      </c>
      <c r="P15" s="15" t="n">
        <v>0</v>
      </c>
      <c r="Q15" s="15" t="n">
        <v>0</v>
      </c>
      <c r="R15" s="15" t="n">
        <v>0</v>
      </c>
      <c r="S15" s="15" t="n">
        <v>0</v>
      </c>
      <c r="T15" s="15" t="n">
        <v>0</v>
      </c>
      <c r="U15" s="15" t="n">
        <v>0</v>
      </c>
      <c r="V15" s="15" t="n">
        <v>0</v>
      </c>
      <c r="W15" s="15" t="n">
        <v>0</v>
      </c>
      <c r="X15" s="15" t="n">
        <v>0</v>
      </c>
      <c r="Y15" s="21" t="n">
        <v>0.05</v>
      </c>
      <c r="Z15" s="21" t="n">
        <v>0.15</v>
      </c>
      <c r="AA15" s="10">
        <f>P15-S15*E15-6*F15-G15</f>
        <v>-136000</v>
      </c>
      <c r="AB15" s="10">
        <f>Q15-T15*E15-6*F15-G15</f>
        <v>-136000</v>
      </c>
      <c r="AC15" s="10">
        <f>R15-U15*E15-6*F15-G15</f>
        <v>-136000</v>
      </c>
      <c r="AD15" s="10">
        <f>J15+V15*M15+S15*(N15+O15/60)</f>
        <v>1200</v>
      </c>
      <c r="AE15" s="10">
        <f>I15+W15*M15+T15*(N15+O15/60)</f>
        <v>850</v>
      </c>
      <c r="AF15" s="10">
        <f>H15+X15*M15+U15*(N15+O15/60)</f>
        <v>600</v>
      </c>
      <c r="AG15" s="10">
        <f>IF(AE15&gt;0,AB15/AE15,0)</f>
        <v>-160</v>
      </c>
      <c r="AH15" s="10">
        <f>IF(W15&gt;0,(Q15-T15*E15)/W15,D15-E15)</f>
        <v>2380</v>
      </c>
      <c r="AI15" s="10">
        <f>IF(AH15&gt;0,(Hedef!$C$5+6*F15+G15)/AH15,0)</f>
        <v>117.6470588235294</v>
      </c>
      <c r="AJ15" s="10">
        <f>IF(AI15&gt;0,AI15/Z15,0)</f>
        <v>784.313725490196</v>
      </c>
      <c r="AK15" s="10">
        <f>IF(AI15&gt;0,AI15/Y15,0)</f>
        <v>2352.941176470588</v>
      </c>
      <c r="AL15" s="10">
        <f>G15+F15*L15/30</f>
        <v>184000</v>
      </c>
      <c r="AM15" s="7" t="str">
        <f>IF(AB15&gt;=Hedef!$C$5,"evet","hayır")</f>
        <v>hayır</v>
      </c>
      <c r="AN15" s="7" t="str">
        <f>IF(AG15&gt;=Hedef!$C$8,"evet","hayır")</f>
        <v>hayır</v>
      </c>
      <c r="AO15" s="7" t="str">
        <f>IF(AE15&lt;=Hedef!$C$14,"evet","hayır")</f>
        <v>hayır</v>
      </c>
      <c r="AP15" s="10">
        <f>AB15/Hedef!$C$4</f>
        <v>-2833.333333333333</v>
      </c>
    </row>
    <row r="16">
      <c r="A16" s="7" t="str">
        <f>Secenekler!A16</f>
        <v>asgari-iscilik-c</v>
      </c>
      <c r="B16" s="7" t="str">
        <f>Secenekler!C16</f>
        <v>Asgari işçilik hesap ve dosya kontrol raporu (uzman teyitli)</v>
      </c>
      <c r="C16" s="17" t="inlineStr">
        <is>
          <t>tek seferlik</t>
        </is>
      </c>
      <c r="D16" s="15" t="n">
        <v>10000</v>
      </c>
      <c r="E16" s="15" t="n">
        <v>2100</v>
      </c>
      <c r="F16" s="15" t="n">
        <v>1500</v>
      </c>
      <c r="G16" s="15" t="n">
        <v>8000</v>
      </c>
      <c r="H16" s="15" t="n">
        <v>30</v>
      </c>
      <c r="I16" s="15" t="n">
        <v>50</v>
      </c>
      <c r="J16" s="15" t="n">
        <v>80</v>
      </c>
      <c r="K16" s="15" t="n">
        <v>21</v>
      </c>
      <c r="L16" s="15" t="n">
        <v>60</v>
      </c>
      <c r="M16" s="15" t="n">
        <v>6</v>
      </c>
      <c r="N16" s="15" t="n">
        <v>10</v>
      </c>
      <c r="O16" s="15" t="n">
        <v>30</v>
      </c>
      <c r="P16" s="15" t="n">
        <v>0</v>
      </c>
      <c r="Q16" s="15" t="n">
        <v>30000</v>
      </c>
      <c r="R16" s="15" t="n">
        <v>120000</v>
      </c>
      <c r="S16" s="15" t="n">
        <v>0</v>
      </c>
      <c r="T16" s="15" t="n">
        <v>3</v>
      </c>
      <c r="U16" s="15" t="n">
        <v>12</v>
      </c>
      <c r="V16" s="15" t="n">
        <v>0</v>
      </c>
      <c r="W16" s="15" t="n">
        <v>3</v>
      </c>
      <c r="X16" s="15" t="n">
        <v>9</v>
      </c>
      <c r="Y16" s="21" t="n">
        <v>0.05</v>
      </c>
      <c r="Z16" s="21" t="n">
        <v>0.15</v>
      </c>
      <c r="AA16" s="10">
        <f>P16-S16*E16-6*F16-G16</f>
        <v>-17000</v>
      </c>
      <c r="AB16" s="10">
        <f>Q16-T16*E16-6*F16-G16</f>
        <v>6700</v>
      </c>
      <c r="AC16" s="10">
        <f>R16-U16*E16-6*F16-G16</f>
        <v>77800</v>
      </c>
      <c r="AD16" s="10">
        <f>J16+V16*M16+S16*(N16+O16/60)</f>
        <v>80</v>
      </c>
      <c r="AE16" s="10">
        <f>I16+W16*M16+T16*(N16+O16/60)</f>
        <v>99.5</v>
      </c>
      <c r="AF16" s="10">
        <f>H16+X16*M16+U16*(N16+O16/60)</f>
        <v>210</v>
      </c>
      <c r="AG16" s="10">
        <f>IF(AE16&gt;0,AB16/AE16,0)</f>
        <v>67.33668341708542</v>
      </c>
      <c r="AH16" s="10">
        <f>IF(W16&gt;0,(Q16-T16*E16)/W16,D16-E16)</f>
        <v>7900</v>
      </c>
      <c r="AI16" s="10">
        <f>IF(AH16&gt;0,(Hedef!$C$5+6*F16+G16)/AH16,0)</f>
        <v>20.37974683544304</v>
      </c>
      <c r="AJ16" s="10">
        <f>IF(AI16&gt;0,AI16/Z16,0)</f>
        <v>135.8649789029536</v>
      </c>
      <c r="AK16" s="10">
        <f>IF(AI16&gt;0,AI16/Y16,0)</f>
        <v>407.5949367088607</v>
      </c>
      <c r="AL16" s="10">
        <f>G16+F16*L16/30</f>
        <v>11000</v>
      </c>
      <c r="AM16" s="7" t="str">
        <f>IF(AB16&gt;=Hedef!$C$5,"evet","hayır")</f>
        <v>hayır</v>
      </c>
      <c r="AN16" s="7" t="str">
        <f>IF(AG16&gt;=Hedef!$C$8,"evet","hayır")</f>
        <v>hayır</v>
      </c>
      <c r="AO16" s="7" t="str">
        <f>IF(AE16&lt;=Hedef!$C$14,"evet","hayır")</f>
        <v>evet</v>
      </c>
      <c r="AP16" s="10">
        <f>AB16/Hedef!$C$4</f>
        <v>139.5833333333333</v>
      </c>
    </row>
    <row r="17">
      <c r="A17" s="7" t="str">
        <f>Secenekler!A17</f>
        <v>zincir-danismanligi-a</v>
      </c>
      <c r="B17" s="7" t="str">
        <f>Secenekler!C17</f>
        <v>90 günlük dijital satış sistemi paketi (çok şubeli zincir)</v>
      </c>
      <c r="C17" s="17" t="inlineStr">
        <is>
          <t>karma</t>
        </is>
      </c>
      <c r="D17" s="15" t="n">
        <v>180000</v>
      </c>
      <c r="E17" s="15" t="n">
        <v>16200</v>
      </c>
      <c r="F17" s="15" t="n">
        <v>7000</v>
      </c>
      <c r="G17" s="15" t="n">
        <v>15000</v>
      </c>
      <c r="H17" s="15" t="n">
        <v>16</v>
      </c>
      <c r="I17" s="15" t="n">
        <v>24</v>
      </c>
      <c r="J17" s="15" t="n">
        <v>40</v>
      </c>
      <c r="K17" s="15" t="n">
        <v>14</v>
      </c>
      <c r="L17" s="15" t="n">
        <v>45</v>
      </c>
      <c r="M17" s="15" t="n">
        <v>10</v>
      </c>
      <c r="N17" s="15" t="n">
        <v>49</v>
      </c>
      <c r="O17" s="15" t="n">
        <v>60</v>
      </c>
      <c r="P17" s="15" t="n">
        <v>0</v>
      </c>
      <c r="Q17" s="15" t="n">
        <v>270000</v>
      </c>
      <c r="R17" s="15" t="n">
        <v>405000</v>
      </c>
      <c r="S17" s="15" t="n">
        <v>0</v>
      </c>
      <c r="T17" s="15" t="n">
        <v>5</v>
      </c>
      <c r="U17" s="15" t="n">
        <v>6</v>
      </c>
      <c r="V17" s="15" t="n">
        <v>0</v>
      </c>
      <c r="W17" s="15" t="n">
        <v>1</v>
      </c>
      <c r="X17" s="15" t="n">
        <v>1</v>
      </c>
      <c r="Y17" s="21" t="n">
        <v>0.3</v>
      </c>
      <c r="Z17" s="21" t="n">
        <v>0.6</v>
      </c>
      <c r="AA17" s="10">
        <f>P17-S17*E17-6*F17-G17</f>
        <v>-57000</v>
      </c>
      <c r="AB17" s="10">
        <f>Q17-T17*E17-6*F17-G17</f>
        <v>132000</v>
      </c>
      <c r="AC17" s="10">
        <f>R17-U17*E17-6*F17-G17</f>
        <v>250800</v>
      </c>
      <c r="AD17" s="10">
        <f>J17+V17*M17+S17*(N17+O17/60)</f>
        <v>40</v>
      </c>
      <c r="AE17" s="10">
        <f>I17+W17*M17+T17*(N17+O17/60)</f>
        <v>284</v>
      </c>
      <c r="AF17" s="10">
        <f>H17+X17*M17+U17*(N17+O17/60)</f>
        <v>326</v>
      </c>
      <c r="AG17" s="10">
        <f>IF(AE17&gt;0,AB17/AE17,0)</f>
        <v>464.7887323943662</v>
      </c>
      <c r="AH17" s="10">
        <f>IF(W17&gt;0,(Q17-T17*E17)/W17,D17-E17)</f>
        <v>189000</v>
      </c>
      <c r="AI17" s="10">
        <f>IF(AH17&gt;0,(Hedef!$C$5+6*F17+G17)/AH17,0)</f>
        <v>1.063492063492063</v>
      </c>
      <c r="AJ17" s="10">
        <f>IF(AI17&gt;0,AI17/Z17,0)</f>
        <v>1.772486772486773</v>
      </c>
      <c r="AK17" s="10">
        <f>IF(AI17&gt;0,AI17/Y17,0)</f>
        <v>3.544973544973545</v>
      </c>
      <c r="AL17" s="10">
        <f>G17+F17*L17/30</f>
        <v>25500</v>
      </c>
      <c r="AM17" s="7" t="str">
        <f>IF(AB17&gt;=Hedef!$C$5,"evet","hayır")</f>
        <v>hayır</v>
      </c>
      <c r="AN17" s="7" t="str">
        <f>IF(AG17&gt;=Hedef!$C$8,"evet","hayır")</f>
        <v>hayır</v>
      </c>
      <c r="AO17" s="7" t="str">
        <f>IF(AE17&lt;=Hedef!$C$14,"evet","hayır")</f>
        <v>evet</v>
      </c>
      <c r="AP17" s="10">
        <f>AB17/Hedef!$C$4</f>
        <v>2750</v>
      </c>
    </row>
    <row r="18">
      <c r="A18" s="7" t="str">
        <f>Secenekler!A18</f>
        <v>zincir-danismanligi-b</v>
      </c>
      <c r="B18" s="7" t="str">
        <f>Secenekler!C18</f>
        <v>Kahve zinciri dijital denetim raporu (2 hafta)</v>
      </c>
      <c r="C18" s="17" t="inlineStr">
        <is>
          <t>tek seferlik</t>
        </is>
      </c>
      <c r="D18" s="15" t="n">
        <v>30000</v>
      </c>
      <c r="E18" s="15" t="n">
        <v>5000</v>
      </c>
      <c r="F18" s="15" t="n">
        <v>3000</v>
      </c>
      <c r="G18" s="15" t="n">
        <v>5000</v>
      </c>
      <c r="H18" s="15" t="n">
        <v>24</v>
      </c>
      <c r="I18" s="15" t="n">
        <v>40</v>
      </c>
      <c r="J18" s="15" t="n">
        <v>60</v>
      </c>
      <c r="K18" s="15" t="n">
        <v>30</v>
      </c>
      <c r="L18" s="15" t="n">
        <v>150</v>
      </c>
      <c r="M18" s="15" t="n">
        <v>24</v>
      </c>
      <c r="N18" s="15" t="n">
        <v>24</v>
      </c>
      <c r="O18" s="15" t="n">
        <v>30</v>
      </c>
      <c r="P18" s="15" t="n">
        <v>0</v>
      </c>
      <c r="Q18" s="15" t="n">
        <v>30000</v>
      </c>
      <c r="R18" s="15" t="n">
        <v>60000</v>
      </c>
      <c r="S18" s="15" t="n">
        <v>0</v>
      </c>
      <c r="T18" s="15" t="n">
        <v>1</v>
      </c>
      <c r="U18" s="15" t="n">
        <v>2</v>
      </c>
      <c r="V18" s="15" t="n">
        <v>0</v>
      </c>
      <c r="W18" s="15" t="n">
        <v>1</v>
      </c>
      <c r="X18" s="15" t="n">
        <v>2</v>
      </c>
      <c r="Y18" s="21" t="n">
        <v>0.02</v>
      </c>
      <c r="Z18" s="21" t="n">
        <v>0.08</v>
      </c>
      <c r="AA18" s="10">
        <f>P18-S18*E18-6*F18-G18</f>
        <v>-23000</v>
      </c>
      <c r="AB18" s="10">
        <f>Q18-T18*E18-6*F18-G18</f>
        <v>2000</v>
      </c>
      <c r="AC18" s="10">
        <f>R18-U18*E18-6*F18-G18</f>
        <v>27000</v>
      </c>
      <c r="AD18" s="10">
        <f>J18+V18*M18+S18*(N18+O18/60)</f>
        <v>60</v>
      </c>
      <c r="AE18" s="10">
        <f>I18+W18*M18+T18*(N18+O18/60)</f>
        <v>88.5</v>
      </c>
      <c r="AF18" s="10">
        <f>H18+X18*M18+U18*(N18+O18/60)</f>
        <v>121</v>
      </c>
      <c r="AG18" s="10">
        <f>IF(AE18&gt;0,AB18/AE18,0)</f>
        <v>22.59887005649718</v>
      </c>
      <c r="AH18" s="10">
        <f>IF(W18&gt;0,(Q18-T18*E18)/W18,D18-E18)</f>
        <v>25000</v>
      </c>
      <c r="AI18" s="10">
        <f>IF(AH18&gt;0,(Hedef!$C$5+6*F18+G18)/AH18,0)</f>
        <v>6.68</v>
      </c>
      <c r="AJ18" s="10">
        <f>IF(AI18&gt;0,AI18/Z18,0)</f>
        <v>83.5</v>
      </c>
      <c r="AK18" s="10">
        <f>IF(AI18&gt;0,AI18/Y18,0)</f>
        <v>334</v>
      </c>
      <c r="AL18" s="10">
        <f>G18+F18*L18/30</f>
        <v>20000</v>
      </c>
      <c r="AM18" s="7" t="str">
        <f>IF(AB18&gt;=Hedef!$C$5,"evet","hayır")</f>
        <v>hayır</v>
      </c>
      <c r="AN18" s="7" t="str">
        <f>IF(AG18&gt;=Hedef!$C$8,"evet","hayır")</f>
        <v>hayır</v>
      </c>
      <c r="AO18" s="7" t="str">
        <f>IF(AE18&lt;=Hedef!$C$14,"evet","hayır")</f>
        <v>evet</v>
      </c>
      <c r="AP18" s="10">
        <f>AB18/Hedef!$C$4</f>
        <v>41.66666666666666</v>
      </c>
    </row>
    <row r="19">
      <c r="A19" s="7" t="str">
        <f>Secenekler!A19</f>
        <v>zincir-danismanligi-c</v>
      </c>
      <c r="B19" s="7" t="str">
        <f>Secenekler!C19</f>
        <v>Merkezden yönetilen şube QR menüsü (Zabuno zincir planı)</v>
      </c>
      <c r="C19" s="17" t="inlineStr">
        <is>
          <t>aylık abonelik</t>
        </is>
      </c>
      <c r="D19" s="15" t="n">
        <v>6373</v>
      </c>
      <c r="E19" s="15" t="n">
        <v>955</v>
      </c>
      <c r="F19" s="15" t="n">
        <v>1000</v>
      </c>
      <c r="G19" s="15" t="n">
        <v>2000</v>
      </c>
      <c r="H19" s="15" t="n">
        <v>40</v>
      </c>
      <c r="I19" s="15" t="n">
        <v>80</v>
      </c>
      <c r="J19" s="15" t="n">
        <v>160</v>
      </c>
      <c r="K19" s="15" t="n">
        <v>75</v>
      </c>
      <c r="L19" s="15" t="n">
        <v>150</v>
      </c>
      <c r="M19" s="15" t="n">
        <v>6</v>
      </c>
      <c r="N19" s="15" t="n">
        <v>10</v>
      </c>
      <c r="O19" s="15" t="n">
        <v>60</v>
      </c>
      <c r="P19" s="15" t="n">
        <v>0</v>
      </c>
      <c r="Q19" s="15" t="n">
        <v>12746</v>
      </c>
      <c r="R19" s="15" t="n">
        <v>25492</v>
      </c>
      <c r="S19" s="15" t="n">
        <v>0</v>
      </c>
      <c r="T19" s="15" t="n">
        <v>2</v>
      </c>
      <c r="U19" s="15" t="n">
        <v>4</v>
      </c>
      <c r="V19" s="15" t="n">
        <v>0</v>
      </c>
      <c r="W19" s="15" t="n">
        <v>1</v>
      </c>
      <c r="X19" s="15" t="n">
        <v>1</v>
      </c>
      <c r="Y19" s="21" t="n">
        <v>0.2</v>
      </c>
      <c r="Z19" s="21" t="n">
        <v>0.5</v>
      </c>
      <c r="AA19" s="10">
        <f>P19-S19*E19-6*F19-G19</f>
        <v>-8000</v>
      </c>
      <c r="AB19" s="10">
        <f>Q19-T19*E19-6*F19-G19</f>
        <v>2836</v>
      </c>
      <c r="AC19" s="10">
        <f>R19-U19*E19-6*F19-G19</f>
        <v>13672</v>
      </c>
      <c r="AD19" s="10">
        <f>J19+V19*M19+S19*(N19+O19/60)</f>
        <v>160</v>
      </c>
      <c r="AE19" s="10">
        <f>I19+W19*M19+T19*(N19+O19/60)</f>
        <v>108</v>
      </c>
      <c r="AF19" s="10">
        <f>H19+X19*M19+U19*(N19+O19/60)</f>
        <v>90</v>
      </c>
      <c r="AG19" s="10">
        <f>IF(AE19&gt;0,AB19/AE19,0)</f>
        <v>26.25925925925926</v>
      </c>
      <c r="AH19" s="10">
        <f>IF(W19&gt;0,(Q19-T19*E19)/W19,D19-E19)</f>
        <v>10836</v>
      </c>
      <c r="AI19" s="10">
        <f>IF(AH19&gt;0,(Hedef!$C$5+6*F19+G19)/AH19,0)</f>
        <v>14.02731635289775</v>
      </c>
      <c r="AJ19" s="10">
        <f>IF(AI19&gt;0,AI19/Z19,0)</f>
        <v>28.05463270579549</v>
      </c>
      <c r="AK19" s="10">
        <f>IF(AI19&gt;0,AI19/Y19,0)</f>
        <v>70.13658176448874</v>
      </c>
      <c r="AL19" s="10">
        <f>G19+F19*L19/30</f>
        <v>7000</v>
      </c>
      <c r="AM19" s="7" t="str">
        <f>IF(AB19&gt;=Hedef!$C$5,"evet","hayır")</f>
        <v>hayır</v>
      </c>
      <c r="AN19" s="7" t="str">
        <f>IF(AG19&gt;=Hedef!$C$8,"evet","hayır")</f>
        <v>hayır</v>
      </c>
      <c r="AO19" s="7" t="str">
        <f>IF(AE19&lt;=Hedef!$C$14,"evet","hayır")</f>
        <v>evet</v>
      </c>
      <c r="AP19" s="10">
        <f>AB19/Hedef!$C$4</f>
        <v>59.08333333333334</v>
      </c>
    </row>
    <row r="20">
      <c r="A20" s="7" t="str">
        <f>Secenekler!A20</f>
        <v>kar-pusulasi-a</v>
      </c>
      <c r="B20" s="7" t="str">
        <f>Secenekler!C20</f>
        <v>Pro yıllık ve Kurucu Paketi (satıcıya yazılım)</v>
      </c>
      <c r="C20" s="17" t="inlineStr">
        <is>
          <t>karma</t>
        </is>
      </c>
      <c r="D20" s="15" t="n">
        <v>416</v>
      </c>
      <c r="E20" s="15" t="n">
        <v>45</v>
      </c>
      <c r="F20" s="15" t="n">
        <v>1500</v>
      </c>
      <c r="G20" s="15" t="n">
        <v>12000</v>
      </c>
      <c r="H20" s="15" t="n">
        <v>60</v>
      </c>
      <c r="I20" s="15" t="n">
        <v>90</v>
      </c>
      <c r="J20" s="15" t="n">
        <v>132</v>
      </c>
      <c r="K20" s="15" t="n">
        <v>35</v>
      </c>
      <c r="L20" s="15" t="n">
        <v>75</v>
      </c>
      <c r="M20" s="15" t="n">
        <v>1</v>
      </c>
      <c r="N20" s="15" t="n">
        <v>0</v>
      </c>
      <c r="O20" s="15" t="n">
        <v>5</v>
      </c>
      <c r="P20" s="15" t="n">
        <v>1664</v>
      </c>
      <c r="Q20" s="15" t="n">
        <v>12480</v>
      </c>
      <c r="R20" s="15" t="n">
        <v>22880</v>
      </c>
      <c r="S20" s="15" t="n">
        <v>3</v>
      </c>
      <c r="T20" s="15" t="n">
        <v>20</v>
      </c>
      <c r="U20" s="15" t="n">
        <v>40</v>
      </c>
      <c r="V20" s="15" t="n">
        <v>3</v>
      </c>
      <c r="W20" s="15" t="n">
        <v>20</v>
      </c>
      <c r="X20" s="15" t="n">
        <v>40</v>
      </c>
      <c r="Y20" s="21" t="n">
        <v>0.01</v>
      </c>
      <c r="Z20" s="21" t="n">
        <v>0.03</v>
      </c>
      <c r="AA20" s="10">
        <f>P20-S20*E20-6*F20-G20</f>
        <v>-19471</v>
      </c>
      <c r="AB20" s="10">
        <f>Q20-T20*E20-6*F20-G20</f>
        <v>-9420</v>
      </c>
      <c r="AC20" s="10">
        <f>R20-U20*E20-6*F20-G20</f>
        <v>80</v>
      </c>
      <c r="AD20" s="10">
        <f>J20+V20*M20+S20*(N20+O20/60)</f>
        <v>135.25</v>
      </c>
      <c r="AE20" s="10">
        <f>I20+W20*M20+T20*(N20+O20/60)</f>
        <v>111.6666666666667</v>
      </c>
      <c r="AF20" s="10">
        <f>H20+X20*M20+U20*(N20+O20/60)</f>
        <v>103.3333333333333</v>
      </c>
      <c r="AG20" s="10">
        <f>IF(AE20&gt;0,AB20/AE20,0)</f>
        <v>-84.35820895522387</v>
      </c>
      <c r="AH20" s="10">
        <f>IF(W20&gt;0,(Q20-T20*E20)/W20,D20-E20)</f>
        <v>579</v>
      </c>
      <c r="AI20" s="10">
        <f>IF(AH20&gt;0,(Hedef!$C$5+6*F20+G20)/AH20,0)</f>
        <v>284.9740932642487</v>
      </c>
      <c r="AJ20" s="10">
        <f>IF(AI20&gt;0,AI20/Z20,0)</f>
        <v>9499.136442141624</v>
      </c>
      <c r="AK20" s="10">
        <f>IF(AI20&gt;0,AI20/Y20,0)</f>
        <v>28497.40932642487</v>
      </c>
      <c r="AL20" s="10">
        <f>G20+F20*L20/30</f>
        <v>15750</v>
      </c>
      <c r="AM20" s="7" t="str">
        <f>IF(AB20&gt;=Hedef!$C$5,"evet","hayır")</f>
        <v>hayır</v>
      </c>
      <c r="AN20" s="7" t="str">
        <f>IF(AG20&gt;=Hedef!$C$8,"evet","hayır")</f>
        <v>hayır</v>
      </c>
      <c r="AO20" s="7" t="str">
        <f>IF(AE20&lt;=Hedef!$C$14,"evet","hayır")</f>
        <v>evet</v>
      </c>
      <c r="AP20" s="10">
        <f>AB20/Hedef!$C$4</f>
        <v>-196.25</v>
      </c>
    </row>
    <row r="21">
      <c r="A21" s="7" t="str">
        <f>Secenekler!A21</f>
        <v>kar-pusulasi-b</v>
      </c>
      <c r="B21" s="7" t="str">
        <f>Secenekler!C21</f>
        <v>Danışman ve ajans paneli (aylık abonelik)</v>
      </c>
      <c r="C21" s="17" t="inlineStr">
        <is>
          <t>aylık abonelik</t>
        </is>
      </c>
      <c r="D21" s="15" t="n">
        <v>825</v>
      </c>
      <c r="E21" s="15" t="n">
        <v>60</v>
      </c>
      <c r="F21" s="15" t="n">
        <v>2000</v>
      </c>
      <c r="G21" s="15" t="n">
        <v>15000</v>
      </c>
      <c r="H21" s="15" t="n">
        <v>120</v>
      </c>
      <c r="I21" s="15" t="n">
        <v>170</v>
      </c>
      <c r="J21" s="15" t="n">
        <v>240</v>
      </c>
      <c r="K21" s="15" t="n">
        <v>105</v>
      </c>
      <c r="L21" s="15" t="n">
        <v>170</v>
      </c>
      <c r="M21" s="15" t="n">
        <v>4</v>
      </c>
      <c r="N21" s="15" t="n">
        <v>0</v>
      </c>
      <c r="O21" s="15" t="n">
        <v>60</v>
      </c>
      <c r="P21" s="15" t="n">
        <v>0</v>
      </c>
      <c r="Q21" s="15" t="n">
        <v>3300</v>
      </c>
      <c r="R21" s="15" t="n">
        <v>7425</v>
      </c>
      <c r="S21" s="15" t="n">
        <v>0</v>
      </c>
      <c r="T21" s="15" t="n">
        <v>4</v>
      </c>
      <c r="U21" s="15" t="n">
        <v>9</v>
      </c>
      <c r="V21" s="15" t="n">
        <v>0</v>
      </c>
      <c r="W21" s="15" t="n">
        <v>2</v>
      </c>
      <c r="X21" s="15" t="n">
        <v>4</v>
      </c>
      <c r="Y21" s="21" t="n">
        <v>0.05</v>
      </c>
      <c r="Z21" s="21" t="n">
        <v>0.1</v>
      </c>
      <c r="AA21" s="10">
        <f>P21-S21*E21-6*F21-G21</f>
        <v>-27000</v>
      </c>
      <c r="AB21" s="10">
        <f>Q21-T21*E21-6*F21-G21</f>
        <v>-23940</v>
      </c>
      <c r="AC21" s="10">
        <f>R21-U21*E21-6*F21-G21</f>
        <v>-20115</v>
      </c>
      <c r="AD21" s="10">
        <f>J21+V21*M21+S21*(N21+O21/60)</f>
        <v>240</v>
      </c>
      <c r="AE21" s="10">
        <f>I21+W21*M21+T21*(N21+O21/60)</f>
        <v>182</v>
      </c>
      <c r="AF21" s="10">
        <f>H21+X21*M21+U21*(N21+O21/60)</f>
        <v>145</v>
      </c>
      <c r="AG21" s="10">
        <f>IF(AE21&gt;0,AB21/AE21,0)</f>
        <v>-131.5384615384615</v>
      </c>
      <c r="AH21" s="10">
        <f>IF(W21&gt;0,(Q21-T21*E21)/W21,D21-E21)</f>
        <v>1530</v>
      </c>
      <c r="AI21" s="10">
        <f>IF(AH21&gt;0,(Hedef!$C$5+6*F21+G21)/AH21,0)</f>
        <v>111.7647058823529</v>
      </c>
      <c r="AJ21" s="10">
        <f>IF(AI21&gt;0,AI21/Z21,0)</f>
        <v>1117.647058823529</v>
      </c>
      <c r="AK21" s="10">
        <f>IF(AI21&gt;0,AI21/Y21,0)</f>
        <v>2235.294117647059</v>
      </c>
      <c r="AL21" s="10">
        <f>G21+F21*L21/30</f>
        <v>26333.33333333334</v>
      </c>
      <c r="AM21" s="7" t="str">
        <f>IF(AB21&gt;=Hedef!$C$5,"evet","hayır")</f>
        <v>hayır</v>
      </c>
      <c r="AN21" s="7" t="str">
        <f>IF(AG21&gt;=Hedef!$C$8,"evet","hayır")</f>
        <v>hayır</v>
      </c>
      <c r="AO21" s="7" t="str">
        <f>IF(AE21&lt;=Hedef!$C$14,"evet","hayır")</f>
        <v>evet</v>
      </c>
      <c r="AP21" s="10">
        <f>AB21/Hedef!$C$4</f>
        <v>-498.75</v>
      </c>
    </row>
    <row r="22">
      <c r="A22" s="7" t="str">
        <f>Secenekler!A22</f>
        <v>kar-pusulasi-c</v>
      </c>
      <c r="B22" s="7" t="str">
        <f>Secenekler!C22</f>
        <v>SKU katkı raporu (sabit fiyatlı hizmet)</v>
      </c>
      <c r="C22" s="17" t="inlineStr">
        <is>
          <t>tek seferlik</t>
        </is>
      </c>
      <c r="D22" s="15" t="n">
        <v>833</v>
      </c>
      <c r="E22" s="15" t="n">
        <v>80</v>
      </c>
      <c r="F22" s="15" t="n">
        <v>850</v>
      </c>
      <c r="G22" s="15" t="n">
        <v>4000</v>
      </c>
      <c r="H22" s="15" t="n">
        <v>30</v>
      </c>
      <c r="I22" s="15" t="n">
        <v>50</v>
      </c>
      <c r="J22" s="15" t="n">
        <v>90</v>
      </c>
      <c r="K22" s="15" t="n">
        <v>35</v>
      </c>
      <c r="L22" s="15" t="n">
        <v>60</v>
      </c>
      <c r="M22" s="15" t="n">
        <v>2</v>
      </c>
      <c r="N22" s="15" t="n">
        <v>6</v>
      </c>
      <c r="O22" s="15" t="n">
        <v>20</v>
      </c>
      <c r="P22" s="15" t="n">
        <v>833</v>
      </c>
      <c r="Q22" s="15" t="n">
        <v>4165</v>
      </c>
      <c r="R22" s="15" t="n">
        <v>9996</v>
      </c>
      <c r="S22" s="15" t="n">
        <v>1</v>
      </c>
      <c r="T22" s="15" t="n">
        <v>5</v>
      </c>
      <c r="U22" s="15" t="n">
        <v>12</v>
      </c>
      <c r="V22" s="15" t="n">
        <v>1</v>
      </c>
      <c r="W22" s="15" t="n">
        <v>5</v>
      </c>
      <c r="X22" s="15" t="n">
        <v>12</v>
      </c>
      <c r="Y22" s="21" t="n">
        <v>0.05</v>
      </c>
      <c r="Z22" s="21" t="n">
        <v>0.15</v>
      </c>
      <c r="AA22" s="10">
        <f>P22-S22*E22-6*F22-G22</f>
        <v>-8347</v>
      </c>
      <c r="AB22" s="10">
        <f>Q22-T22*E22-6*F22-G22</f>
        <v>-5335</v>
      </c>
      <c r="AC22" s="10">
        <f>R22-U22*E22-6*F22-G22</f>
        <v>-64</v>
      </c>
      <c r="AD22" s="10">
        <f>J22+V22*M22+S22*(N22+O22/60)</f>
        <v>98.33333333333333</v>
      </c>
      <c r="AE22" s="10">
        <f>I22+W22*M22+T22*(N22+O22/60)</f>
        <v>91.66666666666666</v>
      </c>
      <c r="AF22" s="10">
        <f>H22+X22*M22+U22*(N22+O22/60)</f>
        <v>130</v>
      </c>
      <c r="AG22" s="10">
        <f>IF(AE22&gt;0,AB22/AE22,0)</f>
        <v>-58.2</v>
      </c>
      <c r="AH22" s="10">
        <f>IF(W22&gt;0,(Q22-T22*E22)/W22,D22-E22)</f>
        <v>753</v>
      </c>
      <c r="AI22" s="10">
        <f>IF(AH22&gt;0,(Hedef!$C$5+6*F22+G22)/AH22,0)</f>
        <v>203.3200531208499</v>
      </c>
      <c r="AJ22" s="10">
        <f>IF(AI22&gt;0,AI22/Z22,0)</f>
        <v>1355.467020805666</v>
      </c>
      <c r="AK22" s="10">
        <f>IF(AI22&gt;0,AI22/Y22,0)</f>
        <v>4066.401062416999</v>
      </c>
      <c r="AL22" s="10">
        <f>G22+F22*L22/30</f>
        <v>5700</v>
      </c>
      <c r="AM22" s="7" t="str">
        <f>IF(AB22&gt;=Hedef!$C$5,"evet","hayır")</f>
        <v>hayır</v>
      </c>
      <c r="AN22" s="7" t="str">
        <f>IF(AG22&gt;=Hedef!$C$8,"evet","hayır")</f>
        <v>hayır</v>
      </c>
      <c r="AO22" s="7" t="str">
        <f>IF(AE22&lt;=Hedef!$C$14,"evet","hayır")</f>
        <v>evet</v>
      </c>
      <c r="AP22" s="10">
        <f>AB22/Hedef!$C$4</f>
        <v>-111.1458333333333</v>
      </c>
    </row>
    <row r="23">
      <c r="A23" s="7" t="str">
        <f>Secenekler!A23</f>
        <v>titanlar-a</v>
      </c>
      <c r="B23" s="7" t="str">
        <f>Secenekler!C23</f>
        <v>Titan Programı: 10 haftalık canlı kohort</v>
      </c>
      <c r="C23" s="17" t="inlineStr">
        <is>
          <t>tek seferlik</t>
        </is>
      </c>
      <c r="D23" s="15" t="n">
        <v>5000</v>
      </c>
      <c r="E23" s="15" t="n">
        <v>300</v>
      </c>
      <c r="F23" s="15" t="n">
        <v>1900</v>
      </c>
      <c r="G23" s="15" t="n">
        <v>21500</v>
      </c>
      <c r="H23" s="15" t="n">
        <v>25</v>
      </c>
      <c r="I23" s="15" t="n">
        <v>40</v>
      </c>
      <c r="J23" s="15" t="n">
        <v>70</v>
      </c>
      <c r="K23" s="15" t="n">
        <v>14</v>
      </c>
      <c r="L23" s="15" t="n">
        <v>45</v>
      </c>
      <c r="M23" s="15" t="n">
        <v>3</v>
      </c>
      <c r="N23" s="15" t="n">
        <v>6.7</v>
      </c>
      <c r="O23" s="15" t="n">
        <v>30</v>
      </c>
      <c r="P23" s="15" t="n">
        <v>27000</v>
      </c>
      <c r="Q23" s="15" t="n">
        <v>115000</v>
      </c>
      <c r="R23" s="15" t="n">
        <v>210000</v>
      </c>
      <c r="S23" s="15" t="n">
        <v>6</v>
      </c>
      <c r="T23" s="15" t="n">
        <v>24</v>
      </c>
      <c r="U23" s="15" t="n">
        <v>40</v>
      </c>
      <c r="V23" s="15" t="n">
        <v>6</v>
      </c>
      <c r="W23" s="15" t="n">
        <v>24</v>
      </c>
      <c r="X23" s="15" t="n">
        <v>40</v>
      </c>
      <c r="Y23" s="21" t="n">
        <v>0.05</v>
      </c>
      <c r="Z23" s="21" t="n">
        <v>0.3</v>
      </c>
      <c r="AA23" s="10">
        <f>P23-S23*E23-6*F23-G23</f>
        <v>-7700</v>
      </c>
      <c r="AB23" s="10">
        <f>Q23-T23*E23-6*F23-G23</f>
        <v>74900</v>
      </c>
      <c r="AC23" s="10">
        <f>R23-U23*E23-6*F23-G23</f>
        <v>165100</v>
      </c>
      <c r="AD23" s="10">
        <f>J23+V23*M23+S23*(N23+O23/60)</f>
        <v>131.2</v>
      </c>
      <c r="AE23" s="10">
        <f>I23+W23*M23+T23*(N23+O23/60)</f>
        <v>284.8</v>
      </c>
      <c r="AF23" s="10">
        <f>H23+X23*M23+U23*(N23+O23/60)</f>
        <v>433</v>
      </c>
      <c r="AG23" s="10">
        <f>IF(AE23&gt;0,AB23/AE23,0)</f>
        <v>262.9915730337079</v>
      </c>
      <c r="AH23" s="10">
        <f>IF(W23&gt;0,(Q23-T23*E23)/W23,D23-E23)</f>
        <v>4491.666666666667</v>
      </c>
      <c r="AI23" s="10">
        <f>IF(AH23&gt;0,(Hedef!$C$5+6*F23+G23)/AH23,0)</f>
        <v>39.38404452690167</v>
      </c>
      <c r="AJ23" s="10">
        <f>IF(AI23&gt;0,AI23/Z23,0)</f>
        <v>131.2801484230056</v>
      </c>
      <c r="AK23" s="10">
        <f>IF(AI23&gt;0,AI23/Y23,0)</f>
        <v>787.6808905380333</v>
      </c>
      <c r="AL23" s="10">
        <f>G23+F23*L23/30</f>
        <v>24350</v>
      </c>
      <c r="AM23" s="7" t="str">
        <f>IF(AB23&gt;=Hedef!$C$5,"evet","hayır")</f>
        <v>hayır</v>
      </c>
      <c r="AN23" s="7" t="str">
        <f>IF(AG23&gt;=Hedef!$C$8,"evet","hayır")</f>
        <v>hayır</v>
      </c>
      <c r="AO23" s="7" t="str">
        <f>IF(AE23&lt;=Hedef!$C$14,"evet","hayır")</f>
        <v>evet</v>
      </c>
      <c r="AP23" s="10">
        <f>AB23/Hedef!$C$4</f>
        <v>1560.416666666667</v>
      </c>
    </row>
    <row r="24">
      <c r="A24" s="7" t="str">
        <f>Secenekler!A24</f>
        <v>titanlar-b</v>
      </c>
      <c r="B24" s="7" t="str">
        <f>Secenekler!C24</f>
        <v>Kâr teşhisi: Giriş ve Strateji danışmanlığı</v>
      </c>
      <c r="C24" s="17" t="inlineStr">
        <is>
          <t>proje</t>
        </is>
      </c>
      <c r="D24" s="15" t="n">
        <v>12500</v>
      </c>
      <c r="E24" s="15" t="n">
        <v>400</v>
      </c>
      <c r="F24" s="15" t="n">
        <v>1500</v>
      </c>
      <c r="G24" s="15" t="n">
        <v>8000</v>
      </c>
      <c r="H24" s="15" t="n">
        <v>12</v>
      </c>
      <c r="I24" s="15" t="n">
        <v>20</v>
      </c>
      <c r="J24" s="15" t="n">
        <v>35</v>
      </c>
      <c r="K24" s="15" t="n">
        <v>10</v>
      </c>
      <c r="L24" s="15" t="n">
        <v>35</v>
      </c>
      <c r="M24" s="15" t="n">
        <v>3</v>
      </c>
      <c r="N24" s="15" t="n">
        <v>5.8</v>
      </c>
      <c r="O24" s="15" t="n">
        <v>30</v>
      </c>
      <c r="P24" s="15" t="n">
        <v>0</v>
      </c>
      <c r="Q24" s="15" t="n">
        <v>37500</v>
      </c>
      <c r="R24" s="15" t="n">
        <v>80000</v>
      </c>
      <c r="S24" s="15" t="n">
        <v>0</v>
      </c>
      <c r="T24" s="15" t="n">
        <v>7</v>
      </c>
      <c r="U24" s="15" t="n">
        <v>16</v>
      </c>
      <c r="V24" s="15" t="n">
        <v>0</v>
      </c>
      <c r="W24" s="15" t="n">
        <v>5</v>
      </c>
      <c r="X24" s="15" t="n">
        <v>12</v>
      </c>
      <c r="Y24" s="21" t="n">
        <v>0.05</v>
      </c>
      <c r="Z24" s="21" t="n">
        <v>0.3</v>
      </c>
      <c r="AA24" s="10">
        <f>P24-S24*E24-6*F24-G24</f>
        <v>-17000</v>
      </c>
      <c r="AB24" s="10">
        <f>Q24-T24*E24-6*F24-G24</f>
        <v>17700</v>
      </c>
      <c r="AC24" s="10">
        <f>R24-U24*E24-6*F24-G24</f>
        <v>56600</v>
      </c>
      <c r="AD24" s="10">
        <f>J24+V24*M24+S24*(N24+O24/60)</f>
        <v>35</v>
      </c>
      <c r="AE24" s="10">
        <f>I24+W24*M24+T24*(N24+O24/60)</f>
        <v>79.1</v>
      </c>
      <c r="AF24" s="10">
        <f>H24+X24*M24+U24*(N24+O24/60)</f>
        <v>148.8</v>
      </c>
      <c r="AG24" s="10">
        <f>IF(AE24&gt;0,AB24/AE24,0)</f>
        <v>223.7673830594185</v>
      </c>
      <c r="AH24" s="10">
        <f>IF(W24&gt;0,(Q24-T24*E24)/W24,D24-E24)</f>
        <v>6940</v>
      </c>
      <c r="AI24" s="10">
        <f>IF(AH24&gt;0,(Hedef!$C$5+6*F24+G24)/AH24,0)</f>
        <v>23.19884726224784</v>
      </c>
      <c r="AJ24" s="10">
        <f>IF(AI24&gt;0,AI24/Z24,0)</f>
        <v>77.32949087415946</v>
      </c>
      <c r="AK24" s="10">
        <f>IF(AI24&gt;0,AI24/Y24,0)</f>
        <v>463.9769452449568</v>
      </c>
      <c r="AL24" s="10">
        <f>G24+F24*L24/30</f>
        <v>9750</v>
      </c>
      <c r="AM24" s="7" t="str">
        <f>IF(AB24&gt;=Hedef!$C$5,"evet","hayır")</f>
        <v>hayır</v>
      </c>
      <c r="AN24" s="7" t="str">
        <f>IF(AG24&gt;=Hedef!$C$8,"evet","hayır")</f>
        <v>hayır</v>
      </c>
      <c r="AO24" s="7" t="str">
        <f>IF(AE24&lt;=Hedef!$C$14,"evet","hayır")</f>
        <v>evet</v>
      </c>
      <c r="AP24" s="10">
        <f>AB24/Hedef!$C$4</f>
        <v>368.75</v>
      </c>
    </row>
    <row r="25">
      <c r="A25" s="7" t="str">
        <f>Secenekler!A25</f>
        <v>titanlar-c</v>
      </c>
      <c r="B25" s="7" t="str">
        <f>Secenekler!C25</f>
        <v>Kurumsal atölye: oda, belediye ve üretici KOBİ</v>
      </c>
      <c r="C25" s="17" t="inlineStr">
        <is>
          <t>proje</t>
        </is>
      </c>
      <c r="D25" s="15" t="n">
        <v>15000</v>
      </c>
      <c r="E25" s="15" t="n">
        <v>1000</v>
      </c>
      <c r="F25" s="15" t="n">
        <v>600</v>
      </c>
      <c r="G25" s="15" t="n">
        <v>8000</v>
      </c>
      <c r="H25" s="15" t="n">
        <v>20</v>
      </c>
      <c r="I25" s="15" t="n">
        <v>40</v>
      </c>
      <c r="J25" s="15" t="n">
        <v>80</v>
      </c>
      <c r="K25" s="15" t="n">
        <v>210</v>
      </c>
      <c r="L25" s="15" t="n">
        <v>330</v>
      </c>
      <c r="M25" s="15" t="n">
        <v>25</v>
      </c>
      <c r="N25" s="15" t="n">
        <v>20</v>
      </c>
      <c r="O25" s="15" t="n">
        <v>60</v>
      </c>
      <c r="P25" s="15" t="n">
        <v>0</v>
      </c>
      <c r="Q25" s="15" t="n">
        <v>0</v>
      </c>
      <c r="R25" s="15" t="n">
        <v>0</v>
      </c>
      <c r="S25" s="15" t="n">
        <v>0</v>
      </c>
      <c r="T25" s="15" t="n">
        <v>0</v>
      </c>
      <c r="U25" s="15" t="n">
        <v>0</v>
      </c>
      <c r="V25" s="15" t="n">
        <v>0</v>
      </c>
      <c r="W25" s="15" t="n">
        <v>0</v>
      </c>
      <c r="X25" s="15" t="n">
        <v>0</v>
      </c>
      <c r="Y25" s="21" t="n">
        <v>0.1</v>
      </c>
      <c r="Z25" s="21" t="n">
        <v>0.25</v>
      </c>
      <c r="AA25" s="10">
        <f>P25-S25*E25-6*F25-G25</f>
        <v>-11600</v>
      </c>
      <c r="AB25" s="10">
        <f>Q25-T25*E25-6*F25-G25</f>
        <v>-11600</v>
      </c>
      <c r="AC25" s="10">
        <f>R25-U25*E25-6*F25-G25</f>
        <v>-11600</v>
      </c>
      <c r="AD25" s="10">
        <f>J25+V25*M25+S25*(N25+O25/60)</f>
        <v>80</v>
      </c>
      <c r="AE25" s="10">
        <f>I25+W25*M25+T25*(N25+O25/60)</f>
        <v>40</v>
      </c>
      <c r="AF25" s="10">
        <f>H25+X25*M25+U25*(N25+O25/60)</f>
        <v>20</v>
      </c>
      <c r="AG25" s="10">
        <f>IF(AE25&gt;0,AB25/AE25,0)</f>
        <v>-290</v>
      </c>
      <c r="AH25" s="10">
        <f>IF(W25&gt;0,(Q25-T25*E25)/W25,D25-E25)</f>
        <v>14000</v>
      </c>
      <c r="AI25" s="10">
        <f>IF(AH25&gt;0,(Hedef!$C$5+6*F25+G25)/AH25,0)</f>
        <v>11.11428571428571</v>
      </c>
      <c r="AJ25" s="10">
        <f>IF(AI25&gt;0,AI25/Z25,0)</f>
        <v>44.45714285714286</v>
      </c>
      <c r="AK25" s="10">
        <f>IF(AI25&gt;0,AI25/Y25,0)</f>
        <v>111.1428571428571</v>
      </c>
      <c r="AL25" s="10">
        <f>G25+F25*L25/30</f>
        <v>14600</v>
      </c>
      <c r="AM25" s="7" t="str">
        <f>IF(AB25&gt;=Hedef!$C$5,"evet","hayır")</f>
        <v>hayır</v>
      </c>
      <c r="AN25" s="7" t="str">
        <f>IF(AG25&gt;=Hedef!$C$8,"evet","hayır")</f>
        <v>hayır</v>
      </c>
      <c r="AO25" s="7" t="str">
        <f>IF(AE25&lt;=Hedef!$C$14,"evet","hayır")</f>
        <v>evet</v>
      </c>
      <c r="AP25" s="10">
        <f>AB25/Hedef!$C$4</f>
        <v>-241.6666666666667</v>
      </c>
    </row>
    <row r="26">
      <c r="A26" s="7" t="str">
        <f>Secenekler!A26</f>
        <v>kurumsal-site-a</v>
      </c>
      <c r="B26" s="7" t="str">
        <f>Secenekler!C26</f>
        <v>İhracat paketi: sabit kapsamlı 3 dilli üretici sitesi</v>
      </c>
      <c r="C26" s="17" t="inlineStr">
        <is>
          <t>proje</t>
        </is>
      </c>
      <c r="D26" s="15" t="n">
        <v>85000</v>
      </c>
      <c r="E26" s="15" t="n">
        <v>3300</v>
      </c>
      <c r="F26" s="15" t="n">
        <v>6300</v>
      </c>
      <c r="G26" s="15" t="n">
        <v>17000</v>
      </c>
      <c r="H26" s="15" t="n">
        <v>40</v>
      </c>
      <c r="I26" s="15" t="n">
        <v>80</v>
      </c>
      <c r="J26" s="15" t="n">
        <v>140</v>
      </c>
      <c r="K26" s="15" t="n">
        <v>45</v>
      </c>
      <c r="L26" s="15" t="n">
        <v>90</v>
      </c>
      <c r="M26" s="15" t="n">
        <v>14</v>
      </c>
      <c r="N26" s="15" t="n">
        <v>22</v>
      </c>
      <c r="O26" s="15" t="n">
        <v>30</v>
      </c>
      <c r="P26" s="15" t="n">
        <v>42500</v>
      </c>
      <c r="Q26" s="15" t="n">
        <v>140000</v>
      </c>
      <c r="R26" s="15" t="n">
        <v>420000</v>
      </c>
      <c r="S26" s="15" t="n">
        <v>1</v>
      </c>
      <c r="T26" s="15" t="n">
        <v>6</v>
      </c>
      <c r="U26" s="15" t="n">
        <v>14</v>
      </c>
      <c r="V26" s="15" t="n">
        <v>1</v>
      </c>
      <c r="W26" s="15" t="n">
        <v>2</v>
      </c>
      <c r="X26" s="15" t="n">
        <v>5</v>
      </c>
      <c r="Y26" s="21" t="n">
        <v>0.1</v>
      </c>
      <c r="Z26" s="21" t="n">
        <v>0.3</v>
      </c>
      <c r="AA26" s="10">
        <f>P26-S26*E26-6*F26-G26</f>
        <v>-15600</v>
      </c>
      <c r="AB26" s="10">
        <f>Q26-T26*E26-6*F26-G26</f>
        <v>65400</v>
      </c>
      <c r="AC26" s="10">
        <f>R26-U26*E26-6*F26-G26</f>
        <v>319000</v>
      </c>
      <c r="AD26" s="10">
        <f>J26+V26*M26+S26*(N26+O26/60)</f>
        <v>176.5</v>
      </c>
      <c r="AE26" s="10">
        <f>I26+W26*M26+T26*(N26+O26/60)</f>
        <v>243</v>
      </c>
      <c r="AF26" s="10">
        <f>H26+X26*M26+U26*(N26+O26/60)</f>
        <v>425</v>
      </c>
      <c r="AG26" s="10">
        <f>IF(AE26&gt;0,AB26/AE26,0)</f>
        <v>269.1358024691358</v>
      </c>
      <c r="AH26" s="10">
        <f>IF(W26&gt;0,(Q26-T26*E26)/W26,D26-E26)</f>
        <v>60100</v>
      </c>
      <c r="AI26" s="10">
        <f>IF(AH26&gt;0,(Hedef!$C$5+6*F26+G26)/AH26,0)</f>
        <v>3.307820299500832</v>
      </c>
      <c r="AJ26" s="10">
        <f>IF(AI26&gt;0,AI26/Z26,0)</f>
        <v>11.02606766500277</v>
      </c>
      <c r="AK26" s="10">
        <f>IF(AI26&gt;0,AI26/Y26,0)</f>
        <v>33.07820299500832</v>
      </c>
      <c r="AL26" s="10">
        <f>G26+F26*L26/30</f>
        <v>35900</v>
      </c>
      <c r="AM26" s="7" t="str">
        <f>IF(AB26&gt;=Hedef!$C$5,"evet","hayır")</f>
        <v>hayır</v>
      </c>
      <c r="AN26" s="7" t="str">
        <f>IF(AG26&gt;=Hedef!$C$8,"evet","hayır")</f>
        <v>hayır</v>
      </c>
      <c r="AO26" s="7" t="str">
        <f>IF(AE26&lt;=Hedef!$C$14,"evet","hayır")</f>
        <v>evet</v>
      </c>
      <c r="AP26" s="10">
        <f>AB26/Hedef!$C$4</f>
        <v>1362.5</v>
      </c>
    </row>
    <row r="27">
      <c r="A27" s="7" t="str">
        <f>Secenekler!A27</f>
        <v>kurumsal-site-b</v>
      </c>
      <c r="B27" s="7" t="str">
        <f>Secenekler!C27</f>
        <v>Vitrin paketi: 2 dilli giriş sitesi (45.000 ₺)</v>
      </c>
      <c r="C27" s="17" t="inlineStr">
        <is>
          <t>proje</t>
        </is>
      </c>
      <c r="D27" s="15" t="n">
        <v>45000</v>
      </c>
      <c r="E27" s="15" t="n">
        <v>1800</v>
      </c>
      <c r="F27" s="15" t="n">
        <v>6300</v>
      </c>
      <c r="G27" s="15" t="n">
        <v>8000</v>
      </c>
      <c r="H27" s="15" t="n">
        <v>24</v>
      </c>
      <c r="I27" s="15" t="n">
        <v>48</v>
      </c>
      <c r="J27" s="15" t="n">
        <v>90</v>
      </c>
      <c r="K27" s="15" t="n">
        <v>14</v>
      </c>
      <c r="L27" s="15" t="n">
        <v>60</v>
      </c>
      <c r="M27" s="15" t="n">
        <v>8</v>
      </c>
      <c r="N27" s="15" t="n">
        <v>16</v>
      </c>
      <c r="O27" s="15" t="n">
        <v>30</v>
      </c>
      <c r="P27" s="15" t="n">
        <v>22500</v>
      </c>
      <c r="Q27" s="15" t="n">
        <v>120000</v>
      </c>
      <c r="R27" s="15" t="n">
        <v>330000</v>
      </c>
      <c r="S27" s="15" t="n">
        <v>1</v>
      </c>
      <c r="T27" s="15" t="n">
        <v>6</v>
      </c>
      <c r="U27" s="15" t="n">
        <v>20</v>
      </c>
      <c r="V27" s="15" t="n">
        <v>1</v>
      </c>
      <c r="W27" s="15" t="n">
        <v>3</v>
      </c>
      <c r="X27" s="15" t="n">
        <v>7</v>
      </c>
      <c r="Y27" s="21" t="n">
        <v>0.08</v>
      </c>
      <c r="Z27" s="21" t="n">
        <v>0.25</v>
      </c>
      <c r="AA27" s="10">
        <f>P27-S27*E27-6*F27-G27</f>
        <v>-25100</v>
      </c>
      <c r="AB27" s="10">
        <f>Q27-T27*E27-6*F27-G27</f>
        <v>63400</v>
      </c>
      <c r="AC27" s="10">
        <f>R27-U27*E27-6*F27-G27</f>
        <v>248200</v>
      </c>
      <c r="AD27" s="10">
        <f>J27+V27*M27+S27*(N27+O27/60)</f>
        <v>114.5</v>
      </c>
      <c r="AE27" s="10">
        <f>I27+W27*M27+T27*(N27+O27/60)</f>
        <v>171</v>
      </c>
      <c r="AF27" s="10">
        <f>H27+X27*M27+U27*(N27+O27/60)</f>
        <v>410</v>
      </c>
      <c r="AG27" s="10">
        <f>IF(AE27&gt;0,AB27/AE27,0)</f>
        <v>370.7602339181287</v>
      </c>
      <c r="AH27" s="10">
        <f>IF(W27&gt;0,(Q27-T27*E27)/W27,D27-E27)</f>
        <v>36400</v>
      </c>
      <c r="AI27" s="10">
        <f>IF(AH27&gt;0,(Hedef!$C$5+6*F27+G27)/AH27,0)</f>
        <v>5.214285714285714</v>
      </c>
      <c r="AJ27" s="10">
        <f>IF(AI27&gt;0,AI27/Z27,0)</f>
        <v>20.85714285714286</v>
      </c>
      <c r="AK27" s="10">
        <f>IF(AI27&gt;0,AI27/Y27,0)</f>
        <v>65.17857142857143</v>
      </c>
      <c r="AL27" s="10">
        <f>G27+F27*L27/30</f>
        <v>20600</v>
      </c>
      <c r="AM27" s="7" t="str">
        <f>IF(AB27&gt;=Hedef!$C$5,"evet","hayır")</f>
        <v>hayır</v>
      </c>
      <c r="AN27" s="7" t="str">
        <f>IF(AG27&gt;=Hedef!$C$8,"evet","hayır")</f>
        <v>hayır</v>
      </c>
      <c r="AO27" s="7" t="str">
        <f>IF(AE27&lt;=Hedef!$C$14,"evet","hayır")</f>
        <v>evet</v>
      </c>
      <c r="AP27" s="10">
        <f>AB27/Hedef!$C$4</f>
        <v>1320.833333333333</v>
      </c>
    </row>
    <row r="28">
      <c r="A28" s="7" t="str">
        <f>Secenekler!A28</f>
        <v>kurumsal-site-c</v>
      </c>
      <c r="B28" s="7" t="str">
        <f>Secenekler!C28</f>
        <v>Markasız Astro sanayi teması (kod satışı)</v>
      </c>
      <c r="C28" s="17" t="inlineStr">
        <is>
          <t>tek seferlik</t>
        </is>
      </c>
      <c r="D28" s="15" t="n">
        <v>3792</v>
      </c>
      <c r="E28" s="15" t="n">
        <v>220</v>
      </c>
      <c r="F28" s="15" t="n">
        <v>500</v>
      </c>
      <c r="G28" s="15" t="n">
        <v>2000</v>
      </c>
      <c r="H28" s="15" t="n">
        <v>60</v>
      </c>
      <c r="I28" s="15" t="n">
        <v>100</v>
      </c>
      <c r="J28" s="15" t="n">
        <v>160</v>
      </c>
      <c r="K28" s="15" t="n">
        <v>60</v>
      </c>
      <c r="L28" s="15" t="n">
        <v>150</v>
      </c>
      <c r="M28" s="15" t="n">
        <v>0.5</v>
      </c>
      <c r="N28" s="15" t="n">
        <v>0</v>
      </c>
      <c r="O28" s="15" t="n">
        <v>20</v>
      </c>
      <c r="P28" s="15" t="n">
        <v>0</v>
      </c>
      <c r="Q28" s="15" t="n">
        <v>22700</v>
      </c>
      <c r="R28" s="15" t="n">
        <v>91000</v>
      </c>
      <c r="S28" s="15" t="n">
        <v>0</v>
      </c>
      <c r="T28" s="15" t="n">
        <v>6</v>
      </c>
      <c r="U28" s="15" t="n">
        <v>24</v>
      </c>
      <c r="V28" s="15" t="n">
        <v>0</v>
      </c>
      <c r="W28" s="15" t="n">
        <v>6</v>
      </c>
      <c r="X28" s="15" t="n">
        <v>24</v>
      </c>
      <c r="Y28" s="21" t="n">
        <v>0.005</v>
      </c>
      <c r="Z28" s="21" t="n">
        <v>0.03</v>
      </c>
      <c r="AA28" s="10">
        <f>P28-S28*E28-6*F28-G28</f>
        <v>-5000</v>
      </c>
      <c r="AB28" s="10">
        <f>Q28-T28*E28-6*F28-G28</f>
        <v>16380</v>
      </c>
      <c r="AC28" s="10">
        <f>R28-U28*E28-6*F28-G28</f>
        <v>80720</v>
      </c>
      <c r="AD28" s="10">
        <f>J28+V28*M28+S28*(N28+O28/60)</f>
        <v>160</v>
      </c>
      <c r="AE28" s="10">
        <f>I28+W28*M28+T28*(N28+O28/60)</f>
        <v>105</v>
      </c>
      <c r="AF28" s="10">
        <f>H28+X28*M28+U28*(N28+O28/60)</f>
        <v>80</v>
      </c>
      <c r="AG28" s="10">
        <f>IF(AE28&gt;0,AB28/AE28,0)</f>
        <v>156</v>
      </c>
      <c r="AH28" s="10">
        <f>IF(W28&gt;0,(Q28-T28*E28)/W28,D28-E28)</f>
        <v>3563.333333333333</v>
      </c>
      <c r="AI28" s="10">
        <f>IF(AH28&gt;0,(Hedef!$C$5+6*F28+G28)/AH28,0)</f>
        <v>41.81478016838167</v>
      </c>
      <c r="AJ28" s="10">
        <f>IF(AI28&gt;0,AI28/Z28,0)</f>
        <v>1393.826005612722</v>
      </c>
      <c r="AK28" s="10">
        <f>IF(AI28&gt;0,AI28/Y28,0)</f>
        <v>8362.956033676333</v>
      </c>
      <c r="AL28" s="10">
        <f>G28+F28*L28/30</f>
        <v>4500</v>
      </c>
      <c r="AM28" s="7" t="str">
        <f>IF(AB28&gt;=Hedef!$C$5,"evet","hayır")</f>
        <v>hayır</v>
      </c>
      <c r="AN28" s="7" t="str">
        <f>IF(AG28&gt;=Hedef!$C$8,"evet","hayır")</f>
        <v>hayır</v>
      </c>
      <c r="AO28" s="7" t="str">
        <f>IF(AE28&lt;=Hedef!$C$14,"evet","hayır")</f>
        <v>evet</v>
      </c>
      <c r="AP28" s="10">
        <f>AB28/Hedef!$C$4</f>
        <v>341.25</v>
      </c>
    </row>
    <row r="29">
      <c r="A29" s="7" t="str">
        <f>Secenekler!A29</f>
        <v>uretici-kobi-paketi-a</v>
      </c>
      <c r="B29" s="7" t="str">
        <f>Secenekler!C29</f>
        <v>Başlangıç paketi: fizibilite, vitrin site, açılış planı</v>
      </c>
      <c r="C29" s="17" t="inlineStr">
        <is>
          <t>proje</t>
        </is>
      </c>
      <c r="D29" s="15" t="n">
        <v>90000</v>
      </c>
      <c r="E29" s="15" t="n">
        <v>8000</v>
      </c>
      <c r="F29" s="15" t="n">
        <v>9300</v>
      </c>
      <c r="G29" s="15" t="n">
        <v>15000</v>
      </c>
      <c r="H29" s="15" t="n">
        <v>55</v>
      </c>
      <c r="I29" s="15" t="n">
        <v>75</v>
      </c>
      <c r="J29" s="15" t="n">
        <v>110</v>
      </c>
      <c r="K29" s="15" t="n">
        <v>35</v>
      </c>
      <c r="L29" s="15" t="n">
        <v>100</v>
      </c>
      <c r="M29" s="15" t="n">
        <v>8</v>
      </c>
      <c r="N29" s="15" t="n">
        <v>64</v>
      </c>
      <c r="O29" s="15" t="n">
        <v>45</v>
      </c>
      <c r="P29" s="15" t="n">
        <v>0</v>
      </c>
      <c r="Q29" s="15" t="n">
        <v>90000</v>
      </c>
      <c r="R29" s="15" t="n">
        <v>270000</v>
      </c>
      <c r="S29" s="15" t="n">
        <v>0</v>
      </c>
      <c r="T29" s="15" t="n">
        <v>1</v>
      </c>
      <c r="U29" s="15" t="n">
        <v>3</v>
      </c>
      <c r="V29" s="15" t="n">
        <v>0</v>
      </c>
      <c r="W29" s="15" t="n">
        <v>1</v>
      </c>
      <c r="X29" s="15" t="n">
        <v>3</v>
      </c>
      <c r="Y29" s="21" t="n">
        <v>0.05</v>
      </c>
      <c r="Z29" s="21" t="n">
        <v>0.3</v>
      </c>
      <c r="AA29" s="10">
        <f>P29-S29*E29-6*F29-G29</f>
        <v>-70800</v>
      </c>
      <c r="AB29" s="10">
        <f>Q29-T29*E29-6*F29-G29</f>
        <v>11200</v>
      </c>
      <c r="AC29" s="10">
        <f>R29-U29*E29-6*F29-G29</f>
        <v>175200</v>
      </c>
      <c r="AD29" s="10">
        <f>J29+V29*M29+S29*(N29+O29/60)</f>
        <v>110</v>
      </c>
      <c r="AE29" s="10">
        <f>I29+W29*M29+T29*(N29+O29/60)</f>
        <v>147.75</v>
      </c>
      <c r="AF29" s="10">
        <f>H29+X29*M29+U29*(N29+O29/60)</f>
        <v>273.25</v>
      </c>
      <c r="AG29" s="10">
        <f>IF(AE29&gt;0,AB29/AE29,0)</f>
        <v>75.80372250423012</v>
      </c>
      <c r="AH29" s="10">
        <f>IF(W29&gt;0,(Q29-T29*E29)/W29,D29-E29)</f>
        <v>82000</v>
      </c>
      <c r="AI29" s="10">
        <f>IF(AH29&gt;0,(Hedef!$C$5+6*F29+G29)/AH29,0)</f>
        <v>2.619512195121951</v>
      </c>
      <c r="AJ29" s="10">
        <f>IF(AI29&gt;0,AI29/Z29,0)</f>
        <v>8.731707317073171</v>
      </c>
      <c r="AK29" s="10">
        <f>IF(AI29&gt;0,AI29/Y29,0)</f>
        <v>52.39024390243902</v>
      </c>
      <c r="AL29" s="10">
        <f>G29+F29*L29/30</f>
        <v>46000</v>
      </c>
      <c r="AM29" s="7" t="str">
        <f>IF(AB29&gt;=Hedef!$C$5,"evet","hayır")</f>
        <v>hayır</v>
      </c>
      <c r="AN29" s="7" t="str">
        <f>IF(AG29&gt;=Hedef!$C$8,"evet","hayır")</f>
        <v>hayır</v>
      </c>
      <c r="AO29" s="7" t="str">
        <f>IF(AE29&lt;=Hedef!$C$14,"evet","hayır")</f>
        <v>evet</v>
      </c>
      <c r="AP29" s="10">
        <f>AB29/Hedef!$C$4</f>
        <v>233.3333333333333</v>
      </c>
    </row>
    <row r="30">
      <c r="A30" s="7" t="str">
        <f>Secenekler!A30</f>
        <v>uretici-kobi-paketi-b</v>
      </c>
      <c r="B30" s="7" t="str">
        <f>Secenekler!C30</f>
        <v>Fizibilite paketi: rakip analizi, kârlılık modeli, simülatör</v>
      </c>
      <c r="C30" s="17" t="inlineStr">
        <is>
          <t>tek seferlik</t>
        </is>
      </c>
      <c r="D30" s="15" t="n">
        <v>35000</v>
      </c>
      <c r="E30" s="15" t="n">
        <v>3500</v>
      </c>
      <c r="F30" s="15" t="n">
        <v>9300</v>
      </c>
      <c r="G30" s="15" t="n">
        <v>15000</v>
      </c>
      <c r="H30" s="15" t="n">
        <v>40</v>
      </c>
      <c r="I30" s="15" t="n">
        <v>55</v>
      </c>
      <c r="J30" s="15" t="n">
        <v>80</v>
      </c>
      <c r="K30" s="15" t="n">
        <v>35</v>
      </c>
      <c r="L30" s="15" t="n">
        <v>75</v>
      </c>
      <c r="M30" s="15" t="n">
        <v>6</v>
      </c>
      <c r="N30" s="15" t="n">
        <v>48</v>
      </c>
      <c r="O30" s="15" t="n">
        <v>30</v>
      </c>
      <c r="P30" s="15" t="n">
        <v>0</v>
      </c>
      <c r="Q30" s="15" t="n">
        <v>70000</v>
      </c>
      <c r="R30" s="15" t="n">
        <v>175000</v>
      </c>
      <c r="S30" s="15" t="n">
        <v>0</v>
      </c>
      <c r="T30" s="15" t="n">
        <v>2</v>
      </c>
      <c r="U30" s="15" t="n">
        <v>5</v>
      </c>
      <c r="V30" s="15" t="n">
        <v>0</v>
      </c>
      <c r="W30" s="15" t="n">
        <v>2</v>
      </c>
      <c r="X30" s="15" t="n">
        <v>5</v>
      </c>
      <c r="Y30" s="21" t="n">
        <v>0.05</v>
      </c>
      <c r="Z30" s="21" t="n">
        <v>0.35</v>
      </c>
      <c r="AA30" s="10">
        <f>P30-S30*E30-6*F30-G30</f>
        <v>-70800</v>
      </c>
      <c r="AB30" s="10">
        <f>Q30-T30*E30-6*F30-G30</f>
        <v>-7800</v>
      </c>
      <c r="AC30" s="10">
        <f>R30-U30*E30-6*F30-G30</f>
        <v>86700</v>
      </c>
      <c r="AD30" s="10">
        <f>J30+V30*M30+S30*(N30+O30/60)</f>
        <v>80</v>
      </c>
      <c r="AE30" s="10">
        <f>I30+W30*M30+T30*(N30+O30/60)</f>
        <v>164</v>
      </c>
      <c r="AF30" s="10">
        <f>H30+X30*M30+U30*(N30+O30/60)</f>
        <v>312.5</v>
      </c>
      <c r="AG30" s="10">
        <f>IF(AE30&gt;0,AB30/AE30,0)</f>
        <v>-47.5609756097561</v>
      </c>
      <c r="AH30" s="10">
        <f>IF(W30&gt;0,(Q30-T30*E30)/W30,D30-E30)</f>
        <v>31500</v>
      </c>
      <c r="AI30" s="10">
        <f>IF(AH30&gt;0,(Hedef!$C$5+6*F30+G30)/AH30,0)</f>
        <v>6.819047619047619</v>
      </c>
      <c r="AJ30" s="10">
        <f>IF(AI30&gt;0,AI30/Z30,0)</f>
        <v>19.48299319727891</v>
      </c>
      <c r="AK30" s="10">
        <f>IF(AI30&gt;0,AI30/Y30,0)</f>
        <v>136.3809523809524</v>
      </c>
      <c r="AL30" s="10">
        <f>G30+F30*L30/30</f>
        <v>38250</v>
      </c>
      <c r="AM30" s="7" t="str">
        <f>IF(AB30&gt;=Hedef!$C$5,"evet","hayır")</f>
        <v>hayır</v>
      </c>
      <c r="AN30" s="7" t="str">
        <f>IF(AG30&gt;=Hedef!$C$8,"evet","hayır")</f>
        <v>hayır</v>
      </c>
      <c r="AO30" s="7" t="str">
        <f>IF(AE30&lt;=Hedef!$C$14,"evet","hayır")</f>
        <v>evet</v>
      </c>
      <c r="AP30" s="10">
        <f>AB30/Hedef!$C$4</f>
        <v>-162.5</v>
      </c>
    </row>
    <row r="31">
      <c r="A31" s="7" t="str">
        <f>Secenekler!A31</f>
        <v>uretici-kobi-paketi-c</v>
      </c>
      <c r="B31" s="7" t="str">
        <f>Secenekler!C31</f>
        <v>Katalog ve teklif formu sitesi (kumaş üreticisi)</v>
      </c>
      <c r="C31" s="17" t="inlineStr">
        <is>
          <t>proje</t>
        </is>
      </c>
      <c r="D31" s="15" t="n">
        <v>45000</v>
      </c>
      <c r="E31" s="15" t="n">
        <v>4500</v>
      </c>
      <c r="F31" s="15" t="n">
        <v>9300</v>
      </c>
      <c r="G31" s="15" t="n">
        <v>15000</v>
      </c>
      <c r="H31" s="15" t="n">
        <v>50</v>
      </c>
      <c r="I31" s="15" t="n">
        <v>70</v>
      </c>
      <c r="J31" s="15" t="n">
        <v>110</v>
      </c>
      <c r="K31" s="15" t="n">
        <v>35</v>
      </c>
      <c r="L31" s="15" t="n">
        <v>120</v>
      </c>
      <c r="M31" s="15" t="n">
        <v>6</v>
      </c>
      <c r="N31" s="15" t="n">
        <v>40</v>
      </c>
      <c r="O31" s="15" t="n">
        <v>30</v>
      </c>
      <c r="P31" s="15" t="n">
        <v>0</v>
      </c>
      <c r="Q31" s="15" t="n">
        <v>45000</v>
      </c>
      <c r="R31" s="15" t="n">
        <v>135000</v>
      </c>
      <c r="S31" s="15" t="n">
        <v>0</v>
      </c>
      <c r="T31" s="15" t="n">
        <v>1</v>
      </c>
      <c r="U31" s="15" t="n">
        <v>3</v>
      </c>
      <c r="V31" s="15" t="n">
        <v>0</v>
      </c>
      <c r="W31" s="15" t="n">
        <v>1</v>
      </c>
      <c r="X31" s="15" t="n">
        <v>3</v>
      </c>
      <c r="Y31" s="21" t="n">
        <v>0.03</v>
      </c>
      <c r="Z31" s="21" t="n">
        <v>0.1</v>
      </c>
      <c r="AA31" s="10">
        <f>P31-S31*E31-6*F31-G31</f>
        <v>-70800</v>
      </c>
      <c r="AB31" s="10">
        <f>Q31-T31*E31-6*F31-G31</f>
        <v>-30300</v>
      </c>
      <c r="AC31" s="10">
        <f>R31-U31*E31-6*F31-G31</f>
        <v>50700</v>
      </c>
      <c r="AD31" s="10">
        <f>J31+V31*M31+S31*(N31+O31/60)</f>
        <v>110</v>
      </c>
      <c r="AE31" s="10">
        <f>I31+W31*M31+T31*(N31+O31/60)</f>
        <v>116.5</v>
      </c>
      <c r="AF31" s="10">
        <f>H31+X31*M31+U31*(N31+O31/60)</f>
        <v>189.5</v>
      </c>
      <c r="AG31" s="10">
        <f>IF(AE31&gt;0,AB31/AE31,0)</f>
        <v>-260.0858369098713</v>
      </c>
      <c r="AH31" s="10">
        <f>IF(W31&gt;0,(Q31-T31*E31)/W31,D31-E31)</f>
        <v>40500</v>
      </c>
      <c r="AI31" s="10">
        <f>IF(AH31&gt;0,(Hedef!$C$5+6*F31+G31)/AH31,0)</f>
        <v>5.303703703703704</v>
      </c>
      <c r="AJ31" s="10">
        <f>IF(AI31&gt;0,AI31/Z31,0)</f>
        <v>53.03703703703704</v>
      </c>
      <c r="AK31" s="10">
        <f>IF(AI31&gt;0,AI31/Y31,0)</f>
        <v>176.7901234567901</v>
      </c>
      <c r="AL31" s="10">
        <f>G31+F31*L31/30</f>
        <v>52200</v>
      </c>
      <c r="AM31" s="7" t="str">
        <f>IF(AB31&gt;=Hedef!$C$5,"evet","hayır")</f>
        <v>hayır</v>
      </c>
      <c r="AN31" s="7" t="str">
        <f>IF(AG31&gt;=Hedef!$C$8,"evet","hayır")</f>
        <v>hayır</v>
      </c>
      <c r="AO31" s="7" t="str">
        <f>IF(AE31&lt;=Hedef!$C$14,"evet","hayır")</f>
        <v>evet</v>
      </c>
      <c r="AP31" s="10">
        <f>AB31/Hedef!$C$4</f>
        <v>-631.25</v>
      </c>
    </row>
    <row r="32">
      <c r="A32" s="7" t="str">
        <f>Secenekler!A32</f>
        <v>wp-nis-eklentiler-a</v>
      </c>
      <c r="B32" s="7" t="str">
        <f>Secenekler!C32</f>
        <v>KVKK Lite Pro: ajans lisansı</v>
      </c>
      <c r="C32" s="17" t="inlineStr">
        <is>
          <t>yıllık peşin</t>
        </is>
      </c>
      <c r="D32" s="15" t="n">
        <v>4990</v>
      </c>
      <c r="E32" s="15" t="n">
        <v>524</v>
      </c>
      <c r="F32" s="15" t="n">
        <v>3000</v>
      </c>
      <c r="G32" s="15" t="n">
        <v>15000</v>
      </c>
      <c r="H32" s="15" t="n">
        <v>120</v>
      </c>
      <c r="I32" s="15" t="n">
        <v>158</v>
      </c>
      <c r="J32" s="15" t="n">
        <v>220</v>
      </c>
      <c r="K32" s="15" t="n">
        <v>60</v>
      </c>
      <c r="L32" s="15" t="n">
        <v>130</v>
      </c>
      <c r="M32" s="15" t="n">
        <v>5</v>
      </c>
      <c r="N32" s="15" t="n">
        <v>0</v>
      </c>
      <c r="O32" s="15" t="n">
        <v>30</v>
      </c>
      <c r="P32" s="15" t="n">
        <v>0</v>
      </c>
      <c r="Q32" s="15" t="n">
        <v>23910</v>
      </c>
      <c r="R32" s="15" t="n">
        <v>47300</v>
      </c>
      <c r="S32" s="15" t="n">
        <v>0</v>
      </c>
      <c r="T32" s="15" t="n">
        <v>9</v>
      </c>
      <c r="U32" s="15" t="n">
        <v>20</v>
      </c>
      <c r="V32" s="15" t="n">
        <v>0</v>
      </c>
      <c r="W32" s="15" t="n">
        <v>9</v>
      </c>
      <c r="X32" s="15" t="n">
        <v>20</v>
      </c>
      <c r="Y32" s="21" t="n">
        <v>0.05</v>
      </c>
      <c r="Z32" s="21" t="n">
        <v>0.15</v>
      </c>
      <c r="AA32" s="10">
        <f>P32-S32*E32-6*F32-G32</f>
        <v>-33000</v>
      </c>
      <c r="AB32" s="10">
        <f>Q32-T32*E32-6*F32-G32</f>
        <v>-13806</v>
      </c>
      <c r="AC32" s="10">
        <f>R32-U32*E32-6*F32-G32</f>
        <v>3820</v>
      </c>
      <c r="AD32" s="10">
        <f>J32+V32*M32+S32*(N32+O32/60)</f>
        <v>220</v>
      </c>
      <c r="AE32" s="10">
        <f>I32+W32*M32+T32*(N32+O32/60)</f>
        <v>207.5</v>
      </c>
      <c r="AF32" s="10">
        <f>H32+X32*M32+U32*(N32+O32/60)</f>
        <v>230</v>
      </c>
      <c r="AG32" s="10">
        <f>IF(AE32&gt;0,AB32/AE32,0)</f>
        <v>-66.53493975903615</v>
      </c>
      <c r="AH32" s="10">
        <f>IF(W32&gt;0,(Q32-T32*E32)/W32,D32-E32)</f>
        <v>2132.666666666667</v>
      </c>
      <c r="AI32" s="10">
        <f>IF(AH32&gt;0,(Hedef!$C$5+6*F32+G32)/AH32,0)</f>
        <v>82.99468583932479</v>
      </c>
      <c r="AJ32" s="10">
        <f>IF(AI32&gt;0,AI32/Z32,0)</f>
        <v>553.2979055954986</v>
      </c>
      <c r="AK32" s="10">
        <f>IF(AI32&gt;0,AI32/Y32,0)</f>
        <v>1659.893716786496</v>
      </c>
      <c r="AL32" s="10">
        <f>G32+F32*L32/30</f>
        <v>28000</v>
      </c>
      <c r="AM32" s="7" t="str">
        <f>IF(AB32&gt;=Hedef!$C$5,"evet","hayır")</f>
        <v>hayır</v>
      </c>
      <c r="AN32" s="7" t="str">
        <f>IF(AG32&gt;=Hedef!$C$8,"evet","hayır")</f>
        <v>hayır</v>
      </c>
      <c r="AO32" s="7" t="str">
        <f>IF(AE32&lt;=Hedef!$C$14,"evet","hayır")</f>
        <v>evet</v>
      </c>
      <c r="AP32" s="10">
        <f>AB32/Hedef!$C$4</f>
        <v>-287.625</v>
      </c>
    </row>
    <row r="33">
      <c r="A33" s="7" t="str">
        <f>Secenekler!A33</f>
        <v>wp-nis-eklentiler-b</v>
      </c>
      <c r="B33" s="7" t="str">
        <f>Secenekler!C33</f>
        <v>Taksit Tablosu ve Kapıda Ödeme Pro: tek mağaza</v>
      </c>
      <c r="C33" s="17" t="inlineStr">
        <is>
          <t>yıllık peşin</t>
        </is>
      </c>
      <c r="D33" s="15" t="n">
        <v>1490</v>
      </c>
      <c r="E33" s="15" t="n">
        <v>156</v>
      </c>
      <c r="F33" s="15" t="n">
        <v>2000</v>
      </c>
      <c r="G33" s="15" t="n">
        <v>6000</v>
      </c>
      <c r="H33" s="15" t="n">
        <v>100</v>
      </c>
      <c r="I33" s="15" t="n">
        <v>130</v>
      </c>
      <c r="J33" s="15" t="n">
        <v>180</v>
      </c>
      <c r="K33" s="15" t="n">
        <v>100</v>
      </c>
      <c r="L33" s="15" t="n">
        <v>170</v>
      </c>
      <c r="M33" s="15" t="n">
        <v>1.5</v>
      </c>
      <c r="N33" s="15" t="n">
        <v>0</v>
      </c>
      <c r="O33" s="15" t="n">
        <v>20</v>
      </c>
      <c r="P33" s="15" t="n">
        <v>0</v>
      </c>
      <c r="Q33" s="15" t="n">
        <v>1490</v>
      </c>
      <c r="R33" s="15" t="n">
        <v>8940</v>
      </c>
      <c r="S33" s="15" t="n">
        <v>0</v>
      </c>
      <c r="T33" s="15" t="n">
        <v>1</v>
      </c>
      <c r="U33" s="15" t="n">
        <v>6</v>
      </c>
      <c r="V33" s="15" t="n">
        <v>0</v>
      </c>
      <c r="W33" s="15" t="n">
        <v>1</v>
      </c>
      <c r="X33" s="15" t="n">
        <v>6</v>
      </c>
      <c r="Y33" s="21" t="n">
        <v>0.005</v>
      </c>
      <c r="Z33" s="21" t="n">
        <v>0.015</v>
      </c>
      <c r="AA33" s="10">
        <f>P33-S33*E33-6*F33-G33</f>
        <v>-18000</v>
      </c>
      <c r="AB33" s="10">
        <f>Q33-T33*E33-6*F33-G33</f>
        <v>-16666</v>
      </c>
      <c r="AC33" s="10">
        <f>R33-U33*E33-6*F33-G33</f>
        <v>-9996</v>
      </c>
      <c r="AD33" s="10">
        <f>J33+V33*M33+S33*(N33+O33/60)</f>
        <v>180</v>
      </c>
      <c r="AE33" s="10">
        <f>I33+W33*M33+T33*(N33+O33/60)</f>
        <v>131.8333333333333</v>
      </c>
      <c r="AF33" s="10">
        <f>H33+X33*M33+U33*(N33+O33/60)</f>
        <v>111</v>
      </c>
      <c r="AG33" s="10">
        <f>IF(AE33&gt;0,AB33/AE33,0)</f>
        <v>-126.417193426043</v>
      </c>
      <c r="AH33" s="10">
        <f>IF(W33&gt;0,(Q33-T33*E33)/W33,D33-E33)</f>
        <v>1334</v>
      </c>
      <c r="AI33" s="10">
        <f>IF(AH33&gt;0,(Hedef!$C$5+6*F33+G33)/AH33,0)</f>
        <v>121.4392803598201</v>
      </c>
      <c r="AJ33" s="10">
        <f>IF(AI33&gt;0,AI33/Z33,0)</f>
        <v>8095.952023988006</v>
      </c>
      <c r="AK33" s="10">
        <f>IF(AI33&gt;0,AI33/Y33,0)</f>
        <v>24287.85607196402</v>
      </c>
      <c r="AL33" s="10">
        <f>G33+F33*L33/30</f>
        <v>17333.33333333334</v>
      </c>
      <c r="AM33" s="7" t="str">
        <f>IF(AB33&gt;=Hedef!$C$5,"evet","hayır")</f>
        <v>hayır</v>
      </c>
      <c r="AN33" s="7" t="str">
        <f>IF(AG33&gt;=Hedef!$C$8,"evet","hayır")</f>
        <v>hayır</v>
      </c>
      <c r="AO33" s="7" t="str">
        <f>IF(AE33&lt;=Hedef!$C$14,"evet","hayır")</f>
        <v>evet</v>
      </c>
      <c r="AP33" s="10">
        <f>AB33/Hedef!$C$4</f>
        <v>-347.2083333333333</v>
      </c>
    </row>
    <row r="34">
      <c r="A34" s="7" t="str">
        <f>Secenekler!A34</f>
        <v>wp-nis-eklentiler-c</v>
      </c>
      <c r="B34" s="7" t="str">
        <f>Secenekler!C34</f>
        <v>Türkiye uyum kurulumu: sabit fiyatlı hizmet</v>
      </c>
      <c r="C34" s="17" t="inlineStr">
        <is>
          <t>proje</t>
        </is>
      </c>
      <c r="D34" s="15" t="n">
        <v>2500</v>
      </c>
      <c r="E34" s="15" t="n">
        <v>0</v>
      </c>
      <c r="F34" s="15" t="n">
        <v>500</v>
      </c>
      <c r="G34" s="15" t="n">
        <v>8000</v>
      </c>
      <c r="H34" s="15" t="n">
        <v>20</v>
      </c>
      <c r="I34" s="15" t="n">
        <v>30</v>
      </c>
      <c r="J34" s="15" t="n">
        <v>40</v>
      </c>
      <c r="K34" s="15" t="n">
        <v>14</v>
      </c>
      <c r="L34" s="15" t="n">
        <v>45</v>
      </c>
      <c r="M34" s="15" t="n">
        <v>2</v>
      </c>
      <c r="N34" s="15" t="n">
        <v>4</v>
      </c>
      <c r="O34" s="15" t="n">
        <v>15</v>
      </c>
      <c r="P34" s="15" t="n">
        <v>0</v>
      </c>
      <c r="Q34" s="15" t="n">
        <v>7500</v>
      </c>
      <c r="R34" s="15" t="n">
        <v>25000</v>
      </c>
      <c r="S34" s="15" t="n">
        <v>0</v>
      </c>
      <c r="T34" s="15" t="n">
        <v>3</v>
      </c>
      <c r="U34" s="15" t="n">
        <v>10</v>
      </c>
      <c r="V34" s="15" t="n">
        <v>0</v>
      </c>
      <c r="W34" s="15" t="n">
        <v>3</v>
      </c>
      <c r="X34" s="15" t="n">
        <v>10</v>
      </c>
      <c r="Y34" s="21" t="n">
        <v>0.1</v>
      </c>
      <c r="Z34" s="21" t="n">
        <v>0.25</v>
      </c>
      <c r="AA34" s="10">
        <f>P34-S34*E34-6*F34-G34</f>
        <v>-11000</v>
      </c>
      <c r="AB34" s="10">
        <f>Q34-T34*E34-6*F34-G34</f>
        <v>-3500</v>
      </c>
      <c r="AC34" s="10">
        <f>R34-U34*E34-6*F34-G34</f>
        <v>14000</v>
      </c>
      <c r="AD34" s="10">
        <f>J34+V34*M34+S34*(N34+O34/60)</f>
        <v>40</v>
      </c>
      <c r="AE34" s="10">
        <f>I34+W34*M34+T34*(N34+O34/60)</f>
        <v>48.75</v>
      </c>
      <c r="AF34" s="10">
        <f>H34+X34*M34+U34*(N34+O34/60)</f>
        <v>82.5</v>
      </c>
      <c r="AG34" s="10">
        <f>IF(AE34&gt;0,AB34/AE34,0)</f>
        <v>-71.7948717948718</v>
      </c>
      <c r="AH34" s="10">
        <f>IF(W34&gt;0,(Q34-T34*E34)/W34,D34-E34)</f>
        <v>2500</v>
      </c>
      <c r="AI34" s="10">
        <f>IF(AH34&gt;0,(Hedef!$C$5+6*F34+G34)/AH34,0)</f>
        <v>62</v>
      </c>
      <c r="AJ34" s="10">
        <f>IF(AI34&gt;0,AI34/Z34,0)</f>
        <v>248</v>
      </c>
      <c r="AK34" s="10">
        <f>IF(AI34&gt;0,AI34/Y34,0)</f>
        <v>620</v>
      </c>
      <c r="AL34" s="10">
        <f>G34+F34*L34/30</f>
        <v>8750</v>
      </c>
      <c r="AM34" s="7" t="str">
        <f>IF(AB34&gt;=Hedef!$C$5,"evet","hayır")</f>
        <v>hayır</v>
      </c>
      <c r="AN34" s="7" t="str">
        <f>IF(AG34&gt;=Hedef!$C$8,"evet","hayır")</f>
        <v>hayır</v>
      </c>
      <c r="AO34" s="7" t="str">
        <f>IF(AE34&lt;=Hedef!$C$14,"evet","hayır")</f>
        <v>evet</v>
      </c>
      <c r="AP34" s="10">
        <f>AB34/Hedef!$C$4</f>
        <v>-72.91666666666667</v>
      </c>
    </row>
    <row r="35">
      <c r="A35" s="7" t="str">
        <f>Secenekler!A35</f>
        <v>qral-a</v>
      </c>
      <c r="B35" s="7" t="str">
        <f>Secenekler!C35</f>
        <v>Pro lisansı: bilgi çalışanı ve yapay zekâ kullanıcısı</v>
      </c>
      <c r="C35" s="17" t="inlineStr">
        <is>
          <t>tek seferlik</t>
        </is>
      </c>
      <c r="D35" s="15" t="n">
        <v>226</v>
      </c>
      <c r="E35" s="15" t="n">
        <v>50</v>
      </c>
      <c r="F35" s="15" t="n">
        <v>150</v>
      </c>
      <c r="G35" s="15" t="n">
        <v>4500</v>
      </c>
      <c r="H35" s="15" t="n">
        <v>80</v>
      </c>
      <c r="I35" s="15" t="n">
        <v>97</v>
      </c>
      <c r="J35" s="15" t="n">
        <v>130</v>
      </c>
      <c r="K35" s="15" t="n">
        <v>75</v>
      </c>
      <c r="L35" s="15" t="n">
        <v>150</v>
      </c>
      <c r="M35" s="15" t="n">
        <v>0.25</v>
      </c>
      <c r="N35" s="15" t="n">
        <v>0</v>
      </c>
      <c r="O35" s="15" t="n">
        <v>5</v>
      </c>
      <c r="P35" s="15" t="n">
        <v>0</v>
      </c>
      <c r="Q35" s="15" t="n">
        <v>678</v>
      </c>
      <c r="R35" s="15" t="n">
        <v>2712</v>
      </c>
      <c r="S35" s="15" t="n">
        <v>0</v>
      </c>
      <c r="T35" s="15" t="n">
        <v>3</v>
      </c>
      <c r="U35" s="15" t="n">
        <v>12</v>
      </c>
      <c r="V35" s="15" t="n">
        <v>0</v>
      </c>
      <c r="W35" s="15" t="n">
        <v>3</v>
      </c>
      <c r="X35" s="15" t="n">
        <v>12</v>
      </c>
      <c r="Y35" s="21" t="n">
        <v>0.005</v>
      </c>
      <c r="Z35" s="21" t="n">
        <v>0.02</v>
      </c>
      <c r="AA35" s="10">
        <f>P35-S35*E35-6*F35-G35</f>
        <v>-5400</v>
      </c>
      <c r="AB35" s="10">
        <f>Q35-T35*E35-6*F35-G35</f>
        <v>-4872</v>
      </c>
      <c r="AC35" s="10">
        <f>R35-U35*E35-6*F35-G35</f>
        <v>-3288</v>
      </c>
      <c r="AD35" s="10">
        <f>J35+V35*M35+S35*(N35+O35/60)</f>
        <v>130</v>
      </c>
      <c r="AE35" s="10">
        <f>I35+W35*M35+T35*(N35+O35/60)</f>
        <v>98</v>
      </c>
      <c r="AF35" s="10">
        <f>H35+X35*M35+U35*(N35+O35/60)</f>
        <v>84</v>
      </c>
      <c r="AG35" s="10">
        <f>IF(AE35&gt;0,AB35/AE35,0)</f>
        <v>-49.71428571428572</v>
      </c>
      <c r="AH35" s="10">
        <f>IF(W35&gt;0,(Q35-T35*E35)/W35,D35-E35)</f>
        <v>176</v>
      </c>
      <c r="AI35" s="10">
        <f>IF(AH35&gt;0,(Hedef!$C$5+6*F35+G35)/AH35,0)</f>
        <v>848.8636363636364</v>
      </c>
      <c r="AJ35" s="10">
        <f>IF(AI35&gt;0,AI35/Z35,0)</f>
        <v>42443.18181818182</v>
      </c>
      <c r="AK35" s="10">
        <f>IF(AI35&gt;0,AI35/Y35,0)</f>
        <v>169772.7272727273</v>
      </c>
      <c r="AL35" s="10">
        <f>G35+F35*L35/30</f>
        <v>5250</v>
      </c>
      <c r="AM35" s="7" t="str">
        <f>IF(AB35&gt;=Hedef!$C$5,"evet","hayır")</f>
        <v>hayır</v>
      </c>
      <c r="AN35" s="7" t="str">
        <f>IF(AG35&gt;=Hedef!$C$8,"evet","hayır")</f>
        <v>hayır</v>
      </c>
      <c r="AO35" s="7" t="str">
        <f>IF(AE35&lt;=Hedef!$C$14,"evet","hayır")</f>
        <v>evet</v>
      </c>
      <c r="AP35" s="10">
        <f>AB35/Hedef!$C$4</f>
        <v>-101.5</v>
      </c>
    </row>
    <row r="36">
      <c r="A36" s="7" t="str">
        <f>Secenekler!A36</f>
        <v>qral-b</v>
      </c>
      <c r="B36" s="7" t="str">
        <f>Secenekler!C36</f>
        <v>Sınıf Paketi: öğretmen ve okul için QR sayfası</v>
      </c>
      <c r="C36" s="17" t="inlineStr">
        <is>
          <t>yıllık peşin</t>
        </is>
      </c>
      <c r="D36" s="15" t="n">
        <v>727</v>
      </c>
      <c r="E36" s="15" t="n">
        <v>80</v>
      </c>
      <c r="F36" s="15" t="n">
        <v>150</v>
      </c>
      <c r="G36" s="15" t="n">
        <v>4500</v>
      </c>
      <c r="H36" s="15" t="n">
        <v>100</v>
      </c>
      <c r="I36" s="15" t="n">
        <v>120</v>
      </c>
      <c r="J36" s="15" t="n">
        <v>160</v>
      </c>
      <c r="K36" s="15" t="n">
        <v>100</v>
      </c>
      <c r="L36" s="15" t="n">
        <v>180</v>
      </c>
      <c r="M36" s="15" t="n">
        <v>2</v>
      </c>
      <c r="N36" s="15" t="n">
        <v>0</v>
      </c>
      <c r="O36" s="15" t="n">
        <v>15</v>
      </c>
      <c r="P36" s="15" t="n">
        <v>0</v>
      </c>
      <c r="Q36" s="15" t="n">
        <v>727</v>
      </c>
      <c r="R36" s="15" t="n">
        <v>7270</v>
      </c>
      <c r="S36" s="15" t="n">
        <v>0</v>
      </c>
      <c r="T36" s="15" t="n">
        <v>1</v>
      </c>
      <c r="U36" s="15" t="n">
        <v>10</v>
      </c>
      <c r="V36" s="15" t="n">
        <v>0</v>
      </c>
      <c r="W36" s="15" t="n">
        <v>1</v>
      </c>
      <c r="X36" s="15" t="n">
        <v>10</v>
      </c>
      <c r="Y36" s="21" t="n">
        <v>0.01</v>
      </c>
      <c r="Z36" s="21" t="n">
        <v>0.03</v>
      </c>
      <c r="AA36" s="10">
        <f>P36-S36*E36-6*F36-G36</f>
        <v>-5400</v>
      </c>
      <c r="AB36" s="10">
        <f>Q36-T36*E36-6*F36-G36</f>
        <v>-4753</v>
      </c>
      <c r="AC36" s="10">
        <f>R36-U36*E36-6*F36-G36</f>
        <v>1070</v>
      </c>
      <c r="AD36" s="10">
        <f>J36+V36*M36+S36*(N36+O36/60)</f>
        <v>160</v>
      </c>
      <c r="AE36" s="10">
        <f>I36+W36*M36+T36*(N36+O36/60)</f>
        <v>122.25</v>
      </c>
      <c r="AF36" s="10">
        <f>H36+X36*M36+U36*(N36+O36/60)</f>
        <v>122.5</v>
      </c>
      <c r="AG36" s="10">
        <f>IF(AE36&gt;0,AB36/AE36,0)</f>
        <v>-38.87934560327199</v>
      </c>
      <c r="AH36" s="10">
        <f>IF(W36&gt;0,(Q36-T36*E36)/W36,D36-E36)</f>
        <v>647</v>
      </c>
      <c r="AI36" s="10">
        <f>IF(AH36&gt;0,(Hedef!$C$5+6*F36+G36)/AH36,0)</f>
        <v>230.9119010819165</v>
      </c>
      <c r="AJ36" s="10">
        <f>IF(AI36&gt;0,AI36/Z36,0)</f>
        <v>7697.063369397219</v>
      </c>
      <c r="AK36" s="10">
        <f>IF(AI36&gt;0,AI36/Y36,0)</f>
        <v>23091.19010819165</v>
      </c>
      <c r="AL36" s="10">
        <f>G36+F36*L36/30</f>
        <v>5400</v>
      </c>
      <c r="AM36" s="7" t="str">
        <f>IF(AB36&gt;=Hedef!$C$5,"evet","hayır")</f>
        <v>hayır</v>
      </c>
      <c r="AN36" s="7" t="str">
        <f>IF(AG36&gt;=Hedef!$C$8,"evet","hayır")</f>
        <v>hayır</v>
      </c>
      <c r="AO36" s="7" t="str">
        <f>IF(AE36&lt;=Hedef!$C$14,"evet","hayır")</f>
        <v>evet</v>
      </c>
      <c r="AP36" s="10">
        <f>AB36/Hedef!$C$4</f>
        <v>-99.02083333333333</v>
      </c>
    </row>
    <row r="37">
      <c r="A37" s="7" t="str">
        <f>Secenekler!A37</f>
        <v>qral-c</v>
      </c>
      <c r="B37" s="7" t="str">
        <f>Secenekler!C37</f>
        <v>Araştırma ekibi için kaynak dışa aktarma şablon paketi</v>
      </c>
      <c r="C37" s="17" t="inlineStr">
        <is>
          <t>proje</t>
        </is>
      </c>
      <c r="D37" s="15" t="n">
        <v>1000</v>
      </c>
      <c r="E37" s="15" t="n">
        <v>0</v>
      </c>
      <c r="F37" s="15" t="n">
        <v>0</v>
      </c>
      <c r="G37" s="15" t="n">
        <v>1500</v>
      </c>
      <c r="H37" s="15" t="n">
        <v>25</v>
      </c>
      <c r="I37" s="15" t="n">
        <v>40</v>
      </c>
      <c r="J37" s="15" t="n">
        <v>60</v>
      </c>
      <c r="K37" s="15" t="n">
        <v>30</v>
      </c>
      <c r="L37" s="15" t="n">
        <v>120</v>
      </c>
      <c r="M37" s="15" t="n">
        <v>6</v>
      </c>
      <c r="N37" s="15" t="n">
        <v>16</v>
      </c>
      <c r="O37" s="15" t="n">
        <v>30</v>
      </c>
      <c r="P37" s="15" t="n">
        <v>0</v>
      </c>
      <c r="Q37" s="15" t="n">
        <v>1000</v>
      </c>
      <c r="R37" s="15" t="n">
        <v>3000</v>
      </c>
      <c r="S37" s="15" t="n">
        <v>0</v>
      </c>
      <c r="T37" s="15" t="n">
        <v>1</v>
      </c>
      <c r="U37" s="15" t="n">
        <v>3</v>
      </c>
      <c r="V37" s="15" t="n">
        <v>0</v>
      </c>
      <c r="W37" s="15" t="n">
        <v>1</v>
      </c>
      <c r="X37" s="15" t="n">
        <v>3</v>
      </c>
      <c r="Y37" s="21" t="n">
        <v>0.01</v>
      </c>
      <c r="Z37" s="21" t="n">
        <v>0.05</v>
      </c>
      <c r="AA37" s="10">
        <f>P37-S37*E37-6*F37-G37</f>
        <v>-1500</v>
      </c>
      <c r="AB37" s="10">
        <f>Q37-T37*E37-6*F37-G37</f>
        <v>-500</v>
      </c>
      <c r="AC37" s="10">
        <f>R37-U37*E37-6*F37-G37</f>
        <v>1500</v>
      </c>
      <c r="AD37" s="10">
        <f>J37+V37*M37+S37*(N37+O37/60)</f>
        <v>60</v>
      </c>
      <c r="AE37" s="10">
        <f>I37+W37*M37+T37*(N37+O37/60)</f>
        <v>62.5</v>
      </c>
      <c r="AF37" s="10">
        <f>H37+X37*M37+U37*(N37+O37/60)</f>
        <v>92.5</v>
      </c>
      <c r="AG37" s="10">
        <f>IF(AE37&gt;0,AB37/AE37,0)</f>
        <v>-8</v>
      </c>
      <c r="AH37" s="10">
        <f>IF(W37&gt;0,(Q37-T37*E37)/W37,D37-E37)</f>
        <v>1000</v>
      </c>
      <c r="AI37" s="10">
        <f>IF(AH37&gt;0,(Hedef!$C$5+6*F37+G37)/AH37,0)</f>
        <v>145.5</v>
      </c>
      <c r="AJ37" s="10">
        <f>IF(AI37&gt;0,AI37/Z37,0)</f>
        <v>2910</v>
      </c>
      <c r="AK37" s="10">
        <f>IF(AI37&gt;0,AI37/Y37,0)</f>
        <v>14550</v>
      </c>
      <c r="AL37" s="10">
        <f>G37+F37*L37/30</f>
        <v>1500</v>
      </c>
      <c r="AM37" s="7" t="str">
        <f>IF(AB37&gt;=Hedef!$C$5,"evet","hayır")</f>
        <v>hayır</v>
      </c>
      <c r="AN37" s="7" t="str">
        <f>IF(AG37&gt;=Hedef!$C$8,"evet","hayır")</f>
        <v>hayır</v>
      </c>
      <c r="AO37" s="7" t="str">
        <f>IF(AE37&lt;=Hedef!$C$14,"evet","hayır")</f>
        <v>evet</v>
      </c>
      <c r="AP37" s="10">
        <f>AB37/Hedef!$C$4</f>
        <v>-10.41666666666667</v>
      </c>
    </row>
    <row r="38">
      <c r="A38" s="7" t="str">
        <f>Secenekler!A38</f>
        <v>frontend-atlasi-a</v>
      </c>
      <c r="B38" s="7" t="str">
        <f>Secenekler!C38</f>
        <v>Eğitmen lisansı ve AI ile Eğitim Sitesi Kiti</v>
      </c>
      <c r="C38" s="17" t="inlineStr">
        <is>
          <t>tek seferlik</t>
        </is>
      </c>
      <c r="D38" s="15" t="n">
        <v>2492</v>
      </c>
      <c r="E38" s="15" t="n">
        <v>150</v>
      </c>
      <c r="F38" s="15" t="n">
        <v>1500</v>
      </c>
      <c r="G38" s="15" t="n">
        <v>12400</v>
      </c>
      <c r="H38" s="15" t="n">
        <v>40</v>
      </c>
      <c r="I38" s="15" t="n">
        <v>60</v>
      </c>
      <c r="J38" s="15" t="n">
        <v>90</v>
      </c>
      <c r="K38" s="15" t="n">
        <v>28</v>
      </c>
      <c r="L38" s="15" t="n">
        <v>84</v>
      </c>
      <c r="M38" s="15" t="n">
        <v>3</v>
      </c>
      <c r="N38" s="15" t="n">
        <v>1</v>
      </c>
      <c r="O38" s="15" t="n">
        <v>45</v>
      </c>
      <c r="P38" s="15" t="n">
        <v>749</v>
      </c>
      <c r="Q38" s="15" t="n">
        <v>3156</v>
      </c>
      <c r="R38" s="15" t="n">
        <v>16600</v>
      </c>
      <c r="S38" s="15" t="n">
        <v>1</v>
      </c>
      <c r="T38" s="15" t="n">
        <v>3</v>
      </c>
      <c r="U38" s="15" t="n">
        <v>15</v>
      </c>
      <c r="V38" s="15" t="n">
        <v>1</v>
      </c>
      <c r="W38" s="15" t="n">
        <v>3</v>
      </c>
      <c r="X38" s="15" t="n">
        <v>15</v>
      </c>
      <c r="Y38" s="21" t="n">
        <v>0.1</v>
      </c>
      <c r="Z38" s="21" t="n">
        <v>0.3</v>
      </c>
      <c r="AA38" s="10">
        <f>P38-S38*E38-6*F38-G38</f>
        <v>-20801</v>
      </c>
      <c r="AB38" s="10">
        <f>Q38-T38*E38-6*F38-G38</f>
        <v>-18694</v>
      </c>
      <c r="AC38" s="10">
        <f>R38-U38*E38-6*F38-G38</f>
        <v>-7050</v>
      </c>
      <c r="AD38" s="10">
        <f>J38+V38*M38+S38*(N38+O38/60)</f>
        <v>94.75</v>
      </c>
      <c r="AE38" s="10">
        <f>I38+W38*M38+T38*(N38+O38/60)</f>
        <v>74.25</v>
      </c>
      <c r="AF38" s="10">
        <f>H38+X38*M38+U38*(N38+O38/60)</f>
        <v>111.25</v>
      </c>
      <c r="AG38" s="10">
        <f>IF(AE38&gt;0,AB38/AE38,0)</f>
        <v>-251.7710437710438</v>
      </c>
      <c r="AH38" s="10">
        <f>IF(W38&gt;0,(Q38-T38*E38)/W38,D38-E38)</f>
        <v>902</v>
      </c>
      <c r="AI38" s="10">
        <f>IF(AH38&gt;0,(Hedef!$C$5+6*F38+G38)/AH38,0)</f>
        <v>183.370288248337</v>
      </c>
      <c r="AJ38" s="10">
        <f>IF(AI38&gt;0,AI38/Z38,0)</f>
        <v>611.2342941611234</v>
      </c>
      <c r="AK38" s="10">
        <f>IF(AI38&gt;0,AI38/Y38,0)</f>
        <v>1833.70288248337</v>
      </c>
      <c r="AL38" s="10">
        <f>G38+F38*L38/30</f>
        <v>16600</v>
      </c>
      <c r="AM38" s="7" t="str">
        <f>IF(AB38&gt;=Hedef!$C$5,"evet","hayır")</f>
        <v>hayır</v>
      </c>
      <c r="AN38" s="7" t="str">
        <f>IF(AG38&gt;=Hedef!$C$8,"evet","hayır")</f>
        <v>hayır</v>
      </c>
      <c r="AO38" s="7" t="str">
        <f>IF(AE38&lt;=Hedef!$C$14,"evet","hayır")</f>
        <v>evet</v>
      </c>
      <c r="AP38" s="10">
        <f>AB38/Hedef!$C$4</f>
        <v>-389.4583333333333</v>
      </c>
    </row>
    <row r="39">
      <c r="A39" s="7" t="str">
        <f>Secenekler!A39</f>
        <v>frontend-atlasi-b</v>
      </c>
      <c r="B39" s="7" t="str">
        <f>Secenekler!C39</f>
        <v>Laboratuvar alıştırma paketi (öğrenenlere, arama ile)</v>
      </c>
      <c r="C39" s="17" t="inlineStr">
        <is>
          <t>tek seferlik</t>
        </is>
      </c>
      <c r="D39" s="15" t="n">
        <v>291</v>
      </c>
      <c r="E39" s="15" t="n">
        <v>23</v>
      </c>
      <c r="F39" s="15" t="n">
        <v>500</v>
      </c>
      <c r="G39" s="15" t="n">
        <v>8000</v>
      </c>
      <c r="H39" s="15" t="n">
        <v>35</v>
      </c>
      <c r="I39" s="15" t="n">
        <v>50</v>
      </c>
      <c r="J39" s="15" t="n">
        <v>80</v>
      </c>
      <c r="K39" s="15" t="n">
        <v>49</v>
      </c>
      <c r="L39" s="15" t="n">
        <v>120</v>
      </c>
      <c r="M39" s="15" t="n">
        <v>0.1</v>
      </c>
      <c r="N39" s="15" t="n">
        <v>0</v>
      </c>
      <c r="O39" s="15" t="n">
        <v>5</v>
      </c>
      <c r="P39" s="15" t="n">
        <v>1455</v>
      </c>
      <c r="Q39" s="15" t="n">
        <v>3492</v>
      </c>
      <c r="R39" s="15" t="n">
        <v>11640</v>
      </c>
      <c r="S39" s="15" t="n">
        <v>5</v>
      </c>
      <c r="T39" s="15" t="n">
        <v>12</v>
      </c>
      <c r="U39" s="15" t="n">
        <v>40</v>
      </c>
      <c r="V39" s="15" t="n">
        <v>5</v>
      </c>
      <c r="W39" s="15" t="n">
        <v>12</v>
      </c>
      <c r="X39" s="15" t="n">
        <v>40</v>
      </c>
      <c r="Y39" s="21" t="n">
        <v>0.003</v>
      </c>
      <c r="Z39" s="21" t="n">
        <v>0.01</v>
      </c>
      <c r="AA39" s="10">
        <f>P39-S39*E39-6*F39-G39</f>
        <v>-9660</v>
      </c>
      <c r="AB39" s="10">
        <f>Q39-T39*E39-6*F39-G39</f>
        <v>-7784</v>
      </c>
      <c r="AC39" s="10">
        <f>R39-U39*E39-6*F39-G39</f>
        <v>-280</v>
      </c>
      <c r="AD39" s="10">
        <f>J39+V39*M39+S39*(N39+O39/60)</f>
        <v>80.91666666666667</v>
      </c>
      <c r="AE39" s="10">
        <f>I39+W39*M39+T39*(N39+O39/60)</f>
        <v>52.2</v>
      </c>
      <c r="AF39" s="10">
        <f>H39+X39*M39+U39*(N39+O39/60)</f>
        <v>42.33333333333334</v>
      </c>
      <c r="AG39" s="10">
        <f>IF(AE39&gt;0,AB39/AE39,0)</f>
        <v>-149.1187739463601</v>
      </c>
      <c r="AH39" s="10">
        <f>IF(W39&gt;0,(Q39-T39*E39)/W39,D39-E39)</f>
        <v>268</v>
      </c>
      <c r="AI39" s="10">
        <f>IF(AH39&gt;0,(Hedef!$C$5+6*F39+G39)/AH39,0)</f>
        <v>578.3582089552239</v>
      </c>
      <c r="AJ39" s="10">
        <f>IF(AI39&gt;0,AI39/Z39,0)</f>
        <v>57835.82089552238</v>
      </c>
      <c r="AK39" s="10">
        <f>IF(AI39&gt;0,AI39/Y39,0)</f>
        <v>192786.0696517413</v>
      </c>
      <c r="AL39" s="10">
        <f>G39+F39*L39/30</f>
        <v>10000</v>
      </c>
      <c r="AM39" s="7" t="str">
        <f>IF(AB39&gt;=Hedef!$C$5,"evet","hayır")</f>
        <v>hayır</v>
      </c>
      <c r="AN39" s="7" t="str">
        <f>IF(AG39&gt;=Hedef!$C$8,"evet","hayır")</f>
        <v>hayır</v>
      </c>
      <c r="AO39" s="7" t="str">
        <f>IF(AE39&lt;=Hedef!$C$14,"evet","hayır")</f>
        <v>evet</v>
      </c>
      <c r="AP39" s="10">
        <f>AB39/Hedef!$C$4</f>
        <v>-162.1666666666667</v>
      </c>
    </row>
    <row r="40">
      <c r="A40" s="7" t="str">
        <f>Secenekler!A40</f>
        <v>frontend-atlasi-c</v>
      </c>
      <c r="B40" s="7" t="str">
        <f>Secenekler!C40</f>
        <v>Eğitmene sabit kapsamlı ders ve laboratuvar üretimi</v>
      </c>
      <c r="C40" s="17" t="inlineStr">
        <is>
          <t>proje</t>
        </is>
      </c>
      <c r="D40" s="15" t="n">
        <v>4000</v>
      </c>
      <c r="E40" s="15" t="n">
        <v>700</v>
      </c>
      <c r="F40" s="15" t="n">
        <v>300</v>
      </c>
      <c r="G40" s="15" t="n">
        <v>4000</v>
      </c>
      <c r="H40" s="15" t="n">
        <v>15</v>
      </c>
      <c r="I40" s="15" t="n">
        <v>25</v>
      </c>
      <c r="J40" s="15" t="n">
        <v>40</v>
      </c>
      <c r="K40" s="15" t="n">
        <v>21</v>
      </c>
      <c r="L40" s="15" t="n">
        <v>75</v>
      </c>
      <c r="M40" s="15" t="n">
        <v>10</v>
      </c>
      <c r="N40" s="15" t="n">
        <v>24</v>
      </c>
      <c r="O40" s="15" t="n">
        <v>30</v>
      </c>
      <c r="P40" s="15" t="n">
        <v>0</v>
      </c>
      <c r="Q40" s="15" t="n">
        <v>8000</v>
      </c>
      <c r="R40" s="15" t="n">
        <v>16000</v>
      </c>
      <c r="S40" s="15" t="n">
        <v>0</v>
      </c>
      <c r="T40" s="15" t="n">
        <v>2</v>
      </c>
      <c r="U40" s="15" t="n">
        <v>4</v>
      </c>
      <c r="V40" s="15" t="n">
        <v>0</v>
      </c>
      <c r="W40" s="15" t="n">
        <v>2</v>
      </c>
      <c r="X40" s="15" t="n">
        <v>4</v>
      </c>
      <c r="Y40" s="21" t="n">
        <v>0.05</v>
      </c>
      <c r="Z40" s="21" t="n">
        <v>0.2</v>
      </c>
      <c r="AA40" s="10">
        <f>P40-S40*E40-6*F40-G40</f>
        <v>-5800</v>
      </c>
      <c r="AB40" s="10">
        <f>Q40-T40*E40-6*F40-G40</f>
        <v>800</v>
      </c>
      <c r="AC40" s="10">
        <f>R40-U40*E40-6*F40-G40</f>
        <v>7400</v>
      </c>
      <c r="AD40" s="10">
        <f>J40+V40*M40+S40*(N40+O40/60)</f>
        <v>40</v>
      </c>
      <c r="AE40" s="10">
        <f>I40+W40*M40+T40*(N40+O40/60)</f>
        <v>94</v>
      </c>
      <c r="AF40" s="10">
        <f>H40+X40*M40+U40*(N40+O40/60)</f>
        <v>153</v>
      </c>
      <c r="AG40" s="10">
        <f>IF(AE40&gt;0,AB40/AE40,0)</f>
        <v>8.51063829787234</v>
      </c>
      <c r="AH40" s="10">
        <f>IF(W40&gt;0,(Q40-T40*E40)/W40,D40-E40)</f>
        <v>3300</v>
      </c>
      <c r="AI40" s="10">
        <f>IF(AH40&gt;0,(Hedef!$C$5+6*F40+G40)/AH40,0)</f>
        <v>45.39393939393939</v>
      </c>
      <c r="AJ40" s="10">
        <f>IF(AI40&gt;0,AI40/Z40,0)</f>
        <v>226.9696969696969</v>
      </c>
      <c r="AK40" s="10">
        <f>IF(AI40&gt;0,AI40/Y40,0)</f>
        <v>907.8787878787878</v>
      </c>
      <c r="AL40" s="10">
        <f>G40+F40*L40/30</f>
        <v>4750</v>
      </c>
      <c r="AM40" s="7" t="str">
        <f>IF(AB40&gt;=Hedef!$C$5,"evet","hayır")</f>
        <v>hayır</v>
      </c>
      <c r="AN40" s="7" t="str">
        <f>IF(AG40&gt;=Hedef!$C$8,"evet","hayır")</f>
        <v>hayır</v>
      </c>
      <c r="AO40" s="7" t="str">
        <f>IF(AE40&lt;=Hedef!$C$14,"evet","hayır")</f>
        <v>evet</v>
      </c>
      <c r="AP40" s="10">
        <f>AB40/Hedef!$C$4</f>
        <v>16.66666666666667</v>
      </c>
    </row>
    <row r="41">
      <c r="A41" s="7" t="str">
        <f>Secenekler!A41</f>
        <v>karar-kitabi-a</v>
      </c>
      <c r="B41" s="7" t="str">
        <f>Secenekler!C41</f>
        <v>Yarım günlük kurumsal karar atölyesi</v>
      </c>
      <c r="C41" s="17" t="inlineStr">
        <is>
          <t>proje</t>
        </is>
      </c>
      <c r="D41" s="15" t="n">
        <v>19900</v>
      </c>
      <c r="E41" s="15" t="n">
        <v>4500</v>
      </c>
      <c r="F41" s="15" t="n">
        <v>1250</v>
      </c>
      <c r="G41" s="15" t="n">
        <v>18000</v>
      </c>
      <c r="H41" s="15" t="n">
        <v>60</v>
      </c>
      <c r="I41" s="15" t="n">
        <v>90</v>
      </c>
      <c r="J41" s="15" t="n">
        <v>140</v>
      </c>
      <c r="K41" s="15" t="n">
        <v>75</v>
      </c>
      <c r="L41" s="15" t="n">
        <v>150</v>
      </c>
      <c r="M41" s="15" t="n">
        <v>20</v>
      </c>
      <c r="N41" s="15" t="n">
        <v>19</v>
      </c>
      <c r="O41" s="15" t="n">
        <v>30</v>
      </c>
      <c r="P41" s="15" t="n">
        <v>0</v>
      </c>
      <c r="Q41" s="15" t="n">
        <v>19800</v>
      </c>
      <c r="R41" s="15" t="n">
        <v>39700</v>
      </c>
      <c r="S41" s="15" t="n">
        <v>0</v>
      </c>
      <c r="T41" s="15" t="n">
        <v>2</v>
      </c>
      <c r="U41" s="15" t="n">
        <v>3</v>
      </c>
      <c r="V41" s="15" t="n">
        <v>0</v>
      </c>
      <c r="W41" s="15" t="n">
        <v>2</v>
      </c>
      <c r="X41" s="15" t="n">
        <v>3</v>
      </c>
      <c r="Y41" s="21" t="n">
        <v>0.1</v>
      </c>
      <c r="Z41" s="21" t="n">
        <v>0.33</v>
      </c>
      <c r="AA41" s="10">
        <f>P41-S41*E41-6*F41-G41</f>
        <v>-25500</v>
      </c>
      <c r="AB41" s="10">
        <f>Q41-T41*E41-6*F41-G41</f>
        <v>-14700</v>
      </c>
      <c r="AC41" s="10">
        <f>R41-U41*E41-6*F41-G41</f>
        <v>700</v>
      </c>
      <c r="AD41" s="10">
        <f>J41+V41*M41+S41*(N41+O41/60)</f>
        <v>140</v>
      </c>
      <c r="AE41" s="10">
        <f>I41+W41*M41+T41*(N41+O41/60)</f>
        <v>169</v>
      </c>
      <c r="AF41" s="10">
        <f>H41+X41*M41+U41*(N41+O41/60)</f>
        <v>178.5</v>
      </c>
      <c r="AG41" s="10">
        <f>IF(AE41&gt;0,AB41/AE41,0)</f>
        <v>-86.98224852071006</v>
      </c>
      <c r="AH41" s="10">
        <f>IF(W41&gt;0,(Q41-T41*E41)/W41,D41-E41)</f>
        <v>5400</v>
      </c>
      <c r="AI41" s="10">
        <f>IF(AH41&gt;0,(Hedef!$C$5+6*F41+G41)/AH41,0)</f>
        <v>31.38888888888889</v>
      </c>
      <c r="AJ41" s="10">
        <f>IF(AI41&gt;0,AI41/Z41,0)</f>
        <v>95.11784511784512</v>
      </c>
      <c r="AK41" s="10">
        <f>IF(AI41&gt;0,AI41/Y41,0)</f>
        <v>313.8888888888889</v>
      </c>
      <c r="AL41" s="10">
        <f>G41+F41*L41/30</f>
        <v>24250</v>
      </c>
      <c r="AM41" s="7" t="str">
        <f>IF(AB41&gt;=Hedef!$C$5,"evet","hayır")</f>
        <v>hayır</v>
      </c>
      <c r="AN41" s="7" t="str">
        <f>IF(AG41&gt;=Hedef!$C$8,"evet","hayır")</f>
        <v>hayır</v>
      </c>
      <c r="AO41" s="7" t="str">
        <f>IF(AE41&lt;=Hedef!$C$14,"evet","hayır")</f>
        <v>evet</v>
      </c>
      <c r="AP41" s="10">
        <f>AB41/Hedef!$C$4</f>
        <v>-306.25</v>
      </c>
    </row>
    <row r="42">
      <c r="A42" s="7" t="str">
        <f>Secenekler!A42</f>
        <v>karar-kitabi-b</v>
      </c>
      <c r="B42" s="7" t="str">
        <f>Secenekler!C42</f>
        <v>Tema çalışma kâğıdı paketleri ve tam set</v>
      </c>
      <c r="C42" s="17" t="inlineStr">
        <is>
          <t>tek seferlik</t>
        </is>
      </c>
      <c r="D42" s="15" t="n">
        <v>166</v>
      </c>
      <c r="E42" s="15" t="n">
        <v>16</v>
      </c>
      <c r="F42" s="15" t="n">
        <v>1250</v>
      </c>
      <c r="G42" s="15" t="n">
        <v>25000</v>
      </c>
      <c r="H42" s="15" t="n">
        <v>80</v>
      </c>
      <c r="I42" s="15" t="n">
        <v>120</v>
      </c>
      <c r="J42" s="15" t="n">
        <v>200</v>
      </c>
      <c r="K42" s="15" t="n">
        <v>60</v>
      </c>
      <c r="L42" s="15" t="n">
        <v>150</v>
      </c>
      <c r="M42" s="15" t="n">
        <v>0.1</v>
      </c>
      <c r="N42" s="15" t="n">
        <v>0</v>
      </c>
      <c r="O42" s="15" t="n">
        <v>10</v>
      </c>
      <c r="P42" s="15" t="n">
        <v>3800</v>
      </c>
      <c r="Q42" s="15" t="n">
        <v>8476</v>
      </c>
      <c r="R42" s="15" t="n">
        <v>25400</v>
      </c>
      <c r="S42" s="15" t="n">
        <v>17</v>
      </c>
      <c r="T42" s="15" t="n">
        <v>25</v>
      </c>
      <c r="U42" s="15" t="n">
        <v>89</v>
      </c>
      <c r="V42" s="15" t="n">
        <v>15</v>
      </c>
      <c r="W42" s="15" t="n">
        <v>22</v>
      </c>
      <c r="X42" s="15" t="n">
        <v>75</v>
      </c>
      <c r="Y42" s="21" t="n">
        <v>0.004</v>
      </c>
      <c r="Z42" s="21" t="n">
        <v>0.05</v>
      </c>
      <c r="AA42" s="10">
        <f>P42-S42*E42-6*F42-G42</f>
        <v>-28972</v>
      </c>
      <c r="AB42" s="10">
        <f>Q42-T42*E42-6*F42-G42</f>
        <v>-24424</v>
      </c>
      <c r="AC42" s="10">
        <f>R42-U42*E42-6*F42-G42</f>
        <v>-8524</v>
      </c>
      <c r="AD42" s="10">
        <f>J42+V42*M42+S42*(N42+O42/60)</f>
        <v>204.3333333333333</v>
      </c>
      <c r="AE42" s="10">
        <f>I42+W42*M42+T42*(N42+O42/60)</f>
        <v>126.3666666666667</v>
      </c>
      <c r="AF42" s="10">
        <f>H42+X42*M42+U42*(N42+O42/60)</f>
        <v>102.3333333333333</v>
      </c>
      <c r="AG42" s="10">
        <f>IF(AE42&gt;0,AB42/AE42,0)</f>
        <v>-193.2788182537589</v>
      </c>
      <c r="AH42" s="10">
        <f>IF(W42&gt;0,(Q42-T42*E42)/W42,D42-E42)</f>
        <v>367.0909090909091</v>
      </c>
      <c r="AI42" s="10">
        <f>IF(AH42&gt;0,(Hedef!$C$5+6*F42+G42)/AH42,0)</f>
        <v>480.8073303615652</v>
      </c>
      <c r="AJ42" s="10">
        <f>IF(AI42&gt;0,AI42/Z42,0)</f>
        <v>9616.146607231303</v>
      </c>
      <c r="AK42" s="10">
        <f>IF(AI42&gt;0,AI42/Y42,0)</f>
        <v>120201.8325903913</v>
      </c>
      <c r="AL42" s="10">
        <f>G42+F42*L42/30</f>
        <v>31250</v>
      </c>
      <c r="AM42" s="7" t="str">
        <f>IF(AB42&gt;=Hedef!$C$5,"evet","hayır")</f>
        <v>hayır</v>
      </c>
      <c r="AN42" s="7" t="str">
        <f>IF(AG42&gt;=Hedef!$C$8,"evet","hayır")</f>
        <v>hayır</v>
      </c>
      <c r="AO42" s="7" t="str">
        <f>IF(AE42&lt;=Hedef!$C$14,"evet","hayır")</f>
        <v>evet</v>
      </c>
      <c r="AP42" s="10">
        <f>AB42/Hedef!$C$4</f>
        <v>-508.8333333333333</v>
      </c>
    </row>
    <row r="43">
      <c r="A43" s="7" t="str">
        <f>Secenekler!A43</f>
        <v>karar-kitabi-c</v>
      </c>
      <c r="B43" s="7" t="str">
        <f>Secenekler!C43</f>
        <v>Facilitatör için özgün karar memosu kiti</v>
      </c>
      <c r="C43" s="17" t="inlineStr">
        <is>
          <t>karma</t>
        </is>
      </c>
      <c r="D43" s="15" t="n">
        <v>833</v>
      </c>
      <c r="E43" s="15" t="n">
        <v>450</v>
      </c>
      <c r="F43" s="15" t="n">
        <v>300</v>
      </c>
      <c r="G43" s="15" t="n">
        <v>8000</v>
      </c>
      <c r="H43" s="15" t="n">
        <v>40</v>
      </c>
      <c r="I43" s="15" t="n">
        <v>70</v>
      </c>
      <c r="J43" s="15" t="n">
        <v>120</v>
      </c>
      <c r="K43" s="15" t="n">
        <v>60</v>
      </c>
      <c r="L43" s="15" t="n">
        <v>150</v>
      </c>
      <c r="M43" s="15" t="n">
        <v>5</v>
      </c>
      <c r="N43" s="15" t="n">
        <v>1</v>
      </c>
      <c r="O43" s="15" t="n">
        <v>30</v>
      </c>
      <c r="P43" s="15" t="n">
        <v>0</v>
      </c>
      <c r="Q43" s="15" t="n">
        <v>1666</v>
      </c>
      <c r="R43" s="15" t="n">
        <v>8300</v>
      </c>
      <c r="S43" s="15" t="n">
        <v>0</v>
      </c>
      <c r="T43" s="15" t="n">
        <v>2</v>
      </c>
      <c r="U43" s="15" t="n">
        <v>7</v>
      </c>
      <c r="V43" s="15" t="n">
        <v>0</v>
      </c>
      <c r="W43" s="15" t="n">
        <v>2</v>
      </c>
      <c r="X43" s="15" t="n">
        <v>6</v>
      </c>
      <c r="Y43" s="21" t="n">
        <v>0.05</v>
      </c>
      <c r="Z43" s="21" t="n">
        <v>0.2</v>
      </c>
      <c r="AA43" s="10">
        <f>P43-S43*E43-6*F43-G43</f>
        <v>-9800</v>
      </c>
      <c r="AB43" s="10">
        <f>Q43-T43*E43-6*F43-G43</f>
        <v>-9034</v>
      </c>
      <c r="AC43" s="10">
        <f>R43-U43*E43-6*F43-G43</f>
        <v>-4650</v>
      </c>
      <c r="AD43" s="10">
        <f>J43+V43*M43+S43*(N43+O43/60)</f>
        <v>120</v>
      </c>
      <c r="AE43" s="10">
        <f>I43+W43*M43+T43*(N43+O43/60)</f>
        <v>83</v>
      </c>
      <c r="AF43" s="10">
        <f>H43+X43*M43+U43*(N43+O43/60)</f>
        <v>80.5</v>
      </c>
      <c r="AG43" s="10">
        <f>IF(AE43&gt;0,AB43/AE43,0)</f>
        <v>-108.8433734939759</v>
      </c>
      <c r="AH43" s="10">
        <f>IF(W43&gt;0,(Q43-T43*E43)/W43,D43-E43)</f>
        <v>383</v>
      </c>
      <c r="AI43" s="10">
        <f>IF(AH43&gt;0,(Hedef!$C$5+6*F43+G43)/AH43,0)</f>
        <v>401.5665796344647</v>
      </c>
      <c r="AJ43" s="10">
        <f>IF(AI43&gt;0,AI43/Z43,0)</f>
        <v>2007.832898172324</v>
      </c>
      <c r="AK43" s="10">
        <f>IF(AI43&gt;0,AI43/Y43,0)</f>
        <v>8031.331592689295</v>
      </c>
      <c r="AL43" s="10">
        <f>G43+F43*L43/30</f>
        <v>9500</v>
      </c>
      <c r="AM43" s="7" t="str">
        <f>IF(AB43&gt;=Hedef!$C$5,"evet","hayır")</f>
        <v>hayır</v>
      </c>
      <c r="AN43" s="7" t="str">
        <f>IF(AG43&gt;=Hedef!$C$8,"evet","hayır")</f>
        <v>hayır</v>
      </c>
      <c r="AO43" s="7" t="str">
        <f>IF(AE43&lt;=Hedef!$C$14,"evet","hayır")</f>
        <v>evet</v>
      </c>
      <c r="AP43" s="10">
        <f>AB43/Hedef!$C$4</f>
        <v>-188.2083333333333</v>
      </c>
    </row>
    <row r="44">
      <c r="A44" s="7" t="str">
        <f>Secenekler!A44</f>
        <v>kurucu-sunum-hizmeti-a</v>
      </c>
      <c r="B44" s="7" t="str">
        <f>Secenekler!C44</f>
        <v>Hibe ve yatırım sunum paketi: site, canlı model, doğrulama</v>
      </c>
      <c r="C44" s="17" t="inlineStr">
        <is>
          <t>proje</t>
        </is>
      </c>
      <c r="D44" s="15" t="n">
        <v>45000</v>
      </c>
      <c r="E44" s="15" t="n">
        <v>1700</v>
      </c>
      <c r="F44" s="15" t="n">
        <v>3250</v>
      </c>
      <c r="G44" s="15" t="n">
        <v>25000</v>
      </c>
      <c r="H44" s="15" t="n">
        <v>45</v>
      </c>
      <c r="I44" s="15" t="n">
        <v>63</v>
      </c>
      <c r="J44" s="15" t="n">
        <v>100</v>
      </c>
      <c r="K44" s="15" t="n">
        <v>21</v>
      </c>
      <c r="L44" s="15" t="n">
        <v>75</v>
      </c>
      <c r="M44" s="15" t="n">
        <v>6</v>
      </c>
      <c r="N44" s="15" t="n">
        <v>20</v>
      </c>
      <c r="O44" s="15" t="n">
        <v>60</v>
      </c>
      <c r="P44" s="15" t="n">
        <v>15750</v>
      </c>
      <c r="Q44" s="15" t="n">
        <v>60750</v>
      </c>
      <c r="R44" s="15" t="n">
        <v>260000</v>
      </c>
      <c r="S44" s="15" t="n">
        <v>2</v>
      </c>
      <c r="T44" s="15" t="n">
        <v>8</v>
      </c>
      <c r="U44" s="15" t="n">
        <v>20</v>
      </c>
      <c r="V44" s="15" t="n">
        <v>1</v>
      </c>
      <c r="W44" s="15" t="n">
        <v>3</v>
      </c>
      <c r="X44" s="15" t="n">
        <v>7</v>
      </c>
      <c r="Y44" s="21" t="n">
        <v>0.05</v>
      </c>
      <c r="Z44" s="21" t="n">
        <v>0.15</v>
      </c>
      <c r="AA44" s="10">
        <f>P44-S44*E44-6*F44-G44</f>
        <v>-32150</v>
      </c>
      <c r="AB44" s="10">
        <f>Q44-T44*E44-6*F44-G44</f>
        <v>2650</v>
      </c>
      <c r="AC44" s="10">
        <f>R44-U44*E44-6*F44-G44</f>
        <v>181500</v>
      </c>
      <c r="AD44" s="10">
        <f>J44+V44*M44+S44*(N44+O44/60)</f>
        <v>148</v>
      </c>
      <c r="AE44" s="10">
        <f>I44+W44*M44+T44*(N44+O44/60)</f>
        <v>249</v>
      </c>
      <c r="AF44" s="10">
        <f>H44+X44*M44+U44*(N44+O44/60)</f>
        <v>507</v>
      </c>
      <c r="AG44" s="10">
        <f>IF(AE44&gt;0,AB44/AE44,0)</f>
        <v>10.6425702811245</v>
      </c>
      <c r="AH44" s="10">
        <f>IF(W44&gt;0,(Q44-T44*E44)/W44,D44-E44)</f>
        <v>15716.66666666667</v>
      </c>
      <c r="AI44" s="10">
        <f>IF(AH44&gt;0,(Hedef!$C$5+6*F44+G44)/AH44,0)</f>
        <v>11.99363732767763</v>
      </c>
      <c r="AJ44" s="10">
        <f>IF(AI44&gt;0,AI44/Z44,0)</f>
        <v>79.9575821845175</v>
      </c>
      <c r="AK44" s="10">
        <f>IF(AI44&gt;0,AI44/Y44,0)</f>
        <v>239.8727465535525</v>
      </c>
      <c r="AL44" s="10">
        <f>G44+F44*L44/30</f>
        <v>33125</v>
      </c>
      <c r="AM44" s="7" t="str">
        <f>IF(AB44&gt;=Hedef!$C$5,"evet","hayır")</f>
        <v>hayır</v>
      </c>
      <c r="AN44" s="7" t="str">
        <f>IF(AG44&gt;=Hedef!$C$8,"evet","hayır")</f>
        <v>hayır</v>
      </c>
      <c r="AO44" s="7" t="str">
        <f>IF(AE44&lt;=Hedef!$C$14,"evet","hayır")</f>
        <v>evet</v>
      </c>
      <c r="AP44" s="10">
        <f>AB44/Hedef!$C$4</f>
        <v>55.20833333333334</v>
      </c>
    </row>
    <row r="45">
      <c r="A45" s="7" t="str">
        <f>Secenekler!A45</f>
        <v>kurucu-sunum-hizmeti-b</v>
      </c>
      <c r="B45" s="7" t="str">
        <f>Secenekler!C45</f>
        <v>Rakam tutarlılığı denetimi: tek dosya, sabit fiyat</v>
      </c>
      <c r="C45" s="17" t="inlineStr">
        <is>
          <t>tek seferlik</t>
        </is>
      </c>
      <c r="D45" s="15" t="n">
        <v>9000</v>
      </c>
      <c r="E45" s="15" t="n">
        <v>600</v>
      </c>
      <c r="F45" s="15" t="n">
        <v>2500</v>
      </c>
      <c r="G45" s="15" t="n">
        <v>10000</v>
      </c>
      <c r="H45" s="15" t="n">
        <v>8</v>
      </c>
      <c r="I45" s="15" t="n">
        <v>14</v>
      </c>
      <c r="J45" s="15" t="n">
        <v>24</v>
      </c>
      <c r="K45" s="15" t="n">
        <v>14</v>
      </c>
      <c r="L45" s="15" t="n">
        <v>45</v>
      </c>
      <c r="M45" s="15" t="n">
        <v>4</v>
      </c>
      <c r="N45" s="15" t="n">
        <v>12</v>
      </c>
      <c r="O45" s="15" t="n">
        <v>30</v>
      </c>
      <c r="P45" s="15" t="n">
        <v>0</v>
      </c>
      <c r="Q45" s="15" t="n">
        <v>18000</v>
      </c>
      <c r="R45" s="15" t="n">
        <v>54000</v>
      </c>
      <c r="S45" s="15" t="n">
        <v>0</v>
      </c>
      <c r="T45" s="15" t="n">
        <v>2</v>
      </c>
      <c r="U45" s="15" t="n">
        <v>6</v>
      </c>
      <c r="V45" s="15" t="n">
        <v>0</v>
      </c>
      <c r="W45" s="15" t="n">
        <v>2</v>
      </c>
      <c r="X45" s="15" t="n">
        <v>6</v>
      </c>
      <c r="Y45" s="21" t="n">
        <v>0.05</v>
      </c>
      <c r="Z45" s="21" t="n">
        <v>0.2</v>
      </c>
      <c r="AA45" s="10">
        <f>P45-S45*E45-6*F45-G45</f>
        <v>-25000</v>
      </c>
      <c r="AB45" s="10">
        <f>Q45-T45*E45-6*F45-G45</f>
        <v>-8200</v>
      </c>
      <c r="AC45" s="10">
        <f>R45-U45*E45-6*F45-G45</f>
        <v>25400</v>
      </c>
      <c r="AD45" s="10">
        <f>J45+V45*M45+S45*(N45+O45/60)</f>
        <v>24</v>
      </c>
      <c r="AE45" s="10">
        <f>I45+W45*M45+T45*(N45+O45/60)</f>
        <v>47</v>
      </c>
      <c r="AF45" s="10">
        <f>H45+X45*M45+U45*(N45+O45/60)</f>
        <v>107</v>
      </c>
      <c r="AG45" s="10">
        <f>IF(AE45&gt;0,AB45/AE45,0)</f>
        <v>-174.468085106383</v>
      </c>
      <c r="AH45" s="10">
        <f>IF(W45&gt;0,(Q45-T45*E45)/W45,D45-E45)</f>
        <v>8400</v>
      </c>
      <c r="AI45" s="10">
        <f>IF(AH45&gt;0,(Hedef!$C$5+6*F45+G45)/AH45,0)</f>
        <v>20.11904761904762</v>
      </c>
      <c r="AJ45" s="10">
        <f>IF(AI45&gt;0,AI45/Z45,0)</f>
        <v>100.5952380952381</v>
      </c>
      <c r="AK45" s="10">
        <f>IF(AI45&gt;0,AI45/Y45,0)</f>
        <v>402.3809523809524</v>
      </c>
      <c r="AL45" s="10">
        <f>G45+F45*L45/30</f>
        <v>13750</v>
      </c>
      <c r="AM45" s="7" t="str">
        <f>IF(AB45&gt;=Hedef!$C$5,"evet","hayır")</f>
        <v>hayır</v>
      </c>
      <c r="AN45" s="7" t="str">
        <f>IF(AG45&gt;=Hedef!$C$8,"evet","hayır")</f>
        <v>hayır</v>
      </c>
      <c r="AO45" s="7" t="str">
        <f>IF(AE45&lt;=Hedef!$C$14,"evet","hayır")</f>
        <v>evet</v>
      </c>
      <c r="AP45" s="10">
        <f>AB45/Hedef!$C$4</f>
        <v>-170.8333333333333</v>
      </c>
    </row>
    <row r="46">
      <c r="A46" s="7" t="str">
        <f>Secenekler!A46</f>
        <v>kurucu-sunum-hizmeti-c</v>
      </c>
      <c r="B46" s="7" t="str">
        <f>Secenekler!C46</f>
        <v>Kuluçka ve TTO yıllık lisansı: şablon, doğrulayıcı, eğitim</v>
      </c>
      <c r="C46" s="17" t="inlineStr">
        <is>
          <t>yıllık peşin</t>
        </is>
      </c>
      <c r="D46" s="15" t="n">
        <v>30000</v>
      </c>
      <c r="E46" s="15" t="n">
        <v>500</v>
      </c>
      <c r="F46" s="15" t="n">
        <v>2500</v>
      </c>
      <c r="G46" s="15" t="n">
        <v>25000</v>
      </c>
      <c r="H46" s="15" t="n">
        <v>70</v>
      </c>
      <c r="I46" s="15" t="n">
        <v>100</v>
      </c>
      <c r="J46" s="15" t="n">
        <v>150</v>
      </c>
      <c r="K46" s="15" t="n">
        <v>60</v>
      </c>
      <c r="L46" s="15" t="n">
        <v>150</v>
      </c>
      <c r="M46" s="15" t="n">
        <v>12</v>
      </c>
      <c r="N46" s="15" t="n">
        <v>30</v>
      </c>
      <c r="O46" s="15" t="n">
        <v>150</v>
      </c>
      <c r="P46" s="15" t="n">
        <v>0</v>
      </c>
      <c r="Q46" s="15" t="n">
        <v>0</v>
      </c>
      <c r="R46" s="15" t="n">
        <v>60000</v>
      </c>
      <c r="S46" s="15" t="n">
        <v>0</v>
      </c>
      <c r="T46" s="15" t="n">
        <v>0</v>
      </c>
      <c r="U46" s="15" t="n">
        <v>2</v>
      </c>
      <c r="V46" s="15" t="n">
        <v>0</v>
      </c>
      <c r="W46" s="15" t="n">
        <v>0</v>
      </c>
      <c r="X46" s="15" t="n">
        <v>2</v>
      </c>
      <c r="Y46" s="21" t="n">
        <v>0.05</v>
      </c>
      <c r="Z46" s="21" t="n">
        <v>0.2</v>
      </c>
      <c r="AA46" s="10">
        <f>P46-S46*E46-6*F46-G46</f>
        <v>-40000</v>
      </c>
      <c r="AB46" s="10">
        <f>Q46-T46*E46-6*F46-G46</f>
        <v>-40000</v>
      </c>
      <c r="AC46" s="10">
        <f>R46-U46*E46-6*F46-G46</f>
        <v>19000</v>
      </c>
      <c r="AD46" s="10">
        <f>J46+V46*M46+S46*(N46+O46/60)</f>
        <v>150</v>
      </c>
      <c r="AE46" s="10">
        <f>I46+W46*M46+T46*(N46+O46/60)</f>
        <v>100</v>
      </c>
      <c r="AF46" s="10">
        <f>H46+X46*M46+U46*(N46+O46/60)</f>
        <v>159</v>
      </c>
      <c r="AG46" s="10">
        <f>IF(AE46&gt;0,AB46/AE46,0)</f>
        <v>-400</v>
      </c>
      <c r="AH46" s="10">
        <f>IF(W46&gt;0,(Q46-T46*E46)/W46,D46-E46)</f>
        <v>29500</v>
      </c>
      <c r="AI46" s="10">
        <f>IF(AH46&gt;0,(Hedef!$C$5+6*F46+G46)/AH46,0)</f>
        <v>6.237288135593221</v>
      </c>
      <c r="AJ46" s="10">
        <f>IF(AI46&gt;0,AI46/Z46,0)</f>
        <v>31.1864406779661</v>
      </c>
      <c r="AK46" s="10">
        <f>IF(AI46&gt;0,AI46/Y46,0)</f>
        <v>124.7457627118644</v>
      </c>
      <c r="AL46" s="10">
        <f>G46+F46*L46/30</f>
        <v>37500</v>
      </c>
      <c r="AM46" s="7" t="str">
        <f>IF(AB46&gt;=Hedef!$C$5,"evet","hayır")</f>
        <v>hayır</v>
      </c>
      <c r="AN46" s="7" t="str">
        <f>IF(AG46&gt;=Hedef!$C$8,"evet","hayır")</f>
        <v>hayır</v>
      </c>
      <c r="AO46" s="7" t="str">
        <f>IF(AE46&lt;=Hedef!$C$14,"evet","hayır")</f>
        <v>evet</v>
      </c>
      <c r="AP46" s="10">
        <f>AB46/Hedef!$C$4</f>
        <v>-833.3333333333334</v>
      </c>
    </row>
    <row r="47">
      <c r="A47" s="7" t="str">
        <f>Secenekler!A47</f>
        <v>vize-operasyon-a</v>
      </c>
      <c r="B47" s="7" t="str">
        <f>Secenekler!C47</f>
        <v>Acente paneli: 90 günlük pilot, sonra abonelik</v>
      </c>
      <c r="C47" s="17" t="inlineStr">
        <is>
          <t>aylık abonelik</t>
        </is>
      </c>
      <c r="D47" s="15" t="n">
        <v>2093</v>
      </c>
      <c r="E47" s="15" t="n">
        <v>170</v>
      </c>
      <c r="F47" s="15" t="n">
        <v>4500</v>
      </c>
      <c r="G47" s="15" t="n">
        <v>45000</v>
      </c>
      <c r="H47" s="15" t="n">
        <v>120</v>
      </c>
      <c r="I47" s="15" t="n">
        <v>150</v>
      </c>
      <c r="J47" s="15" t="n">
        <v>260</v>
      </c>
      <c r="K47" s="15" t="n">
        <v>75</v>
      </c>
      <c r="L47" s="15" t="n">
        <v>150</v>
      </c>
      <c r="M47" s="15" t="n">
        <v>14</v>
      </c>
      <c r="N47" s="15" t="n">
        <v>5</v>
      </c>
      <c r="O47" s="15" t="n">
        <v>120</v>
      </c>
      <c r="P47" s="15" t="n">
        <v>0</v>
      </c>
      <c r="Q47" s="15" t="n">
        <v>10465</v>
      </c>
      <c r="R47" s="15" t="n">
        <v>20930</v>
      </c>
      <c r="S47" s="15" t="n">
        <v>0</v>
      </c>
      <c r="T47" s="15" t="n">
        <v>5</v>
      </c>
      <c r="U47" s="15" t="n">
        <v>10</v>
      </c>
      <c r="V47" s="15" t="n">
        <v>0</v>
      </c>
      <c r="W47" s="15" t="n">
        <v>2</v>
      </c>
      <c r="X47" s="15" t="n">
        <v>4</v>
      </c>
      <c r="Y47" s="21" t="n">
        <v>0.08</v>
      </c>
      <c r="Z47" s="21" t="n">
        <v>0.25</v>
      </c>
      <c r="AA47" s="10">
        <f>P47-S47*E47-6*F47-G47</f>
        <v>-72000</v>
      </c>
      <c r="AB47" s="10">
        <f>Q47-T47*E47-6*F47-G47</f>
        <v>-62385</v>
      </c>
      <c r="AC47" s="10">
        <f>R47-U47*E47-6*F47-G47</f>
        <v>-52770</v>
      </c>
      <c r="AD47" s="10">
        <f>J47+V47*M47+S47*(N47+O47/60)</f>
        <v>260</v>
      </c>
      <c r="AE47" s="10">
        <f>I47+W47*M47+T47*(N47+O47/60)</f>
        <v>213</v>
      </c>
      <c r="AF47" s="10">
        <f>H47+X47*M47+U47*(N47+O47/60)</f>
        <v>246</v>
      </c>
      <c r="AG47" s="10">
        <f>IF(AE47&gt;0,AB47/AE47,0)</f>
        <v>-292.887323943662</v>
      </c>
      <c r="AH47" s="10">
        <f>IF(W47&gt;0,(Q47-T47*E47)/W47,D47-E47)</f>
        <v>4807.5</v>
      </c>
      <c r="AI47" s="10">
        <f>IF(AH47&gt;0,(Hedef!$C$5+6*F47+G47)/AH47,0)</f>
        <v>44.92979719188767</v>
      </c>
      <c r="AJ47" s="10">
        <f>IF(AI47&gt;0,AI47/Z47,0)</f>
        <v>179.7191887675507</v>
      </c>
      <c r="AK47" s="10">
        <f>IF(AI47&gt;0,AI47/Y47,0)</f>
        <v>561.6224648985959</v>
      </c>
      <c r="AL47" s="10">
        <f>G47+F47*L47/30</f>
        <v>67500</v>
      </c>
      <c r="AM47" s="7" t="str">
        <f>IF(AB47&gt;=Hedef!$C$5,"evet","hayır")</f>
        <v>hayır</v>
      </c>
      <c r="AN47" s="7" t="str">
        <f>IF(AG47&gt;=Hedef!$C$8,"evet","hayır")</f>
        <v>hayır</v>
      </c>
      <c r="AO47" s="7" t="str">
        <f>IF(AE47&lt;=Hedef!$C$14,"evet","hayır")</f>
        <v>evet</v>
      </c>
      <c r="AP47" s="10">
        <f>AB47/Hedef!$C$4</f>
        <v>-1299.6875</v>
      </c>
    </row>
    <row r="48">
      <c r="A48" s="7" t="str">
        <f>Secenekler!A48</f>
        <v>vize-operasyon-b</v>
      </c>
      <c r="B48" s="7" t="str">
        <f>Secenekler!C48</f>
        <v>Acente Sheet doğrulama ve eksik belge kuyruğu (ücretli pilot)</v>
      </c>
      <c r="C48" s="17" t="inlineStr">
        <is>
          <t>karma</t>
        </is>
      </c>
      <c r="D48" s="15" t="n">
        <v>3000</v>
      </c>
      <c r="E48" s="15" t="n">
        <v>300</v>
      </c>
      <c r="F48" s="15" t="n">
        <v>2500</v>
      </c>
      <c r="G48" s="15" t="n">
        <v>25000</v>
      </c>
      <c r="H48" s="15" t="n">
        <v>100</v>
      </c>
      <c r="I48" s="15" t="n">
        <v>160</v>
      </c>
      <c r="J48" s="15" t="n">
        <v>260</v>
      </c>
      <c r="K48" s="15" t="n">
        <v>50</v>
      </c>
      <c r="L48" s="15" t="n">
        <v>120</v>
      </c>
      <c r="M48" s="15" t="n">
        <v>16</v>
      </c>
      <c r="N48" s="15" t="n">
        <v>12</v>
      </c>
      <c r="O48" s="15" t="n">
        <v>60</v>
      </c>
      <c r="P48" s="15" t="n">
        <v>0</v>
      </c>
      <c r="Q48" s="15" t="n">
        <v>14000</v>
      </c>
      <c r="R48" s="15" t="n">
        <v>45000</v>
      </c>
      <c r="S48" s="15" t="n">
        <v>0</v>
      </c>
      <c r="T48" s="15" t="n">
        <v>4</v>
      </c>
      <c r="U48" s="15" t="n">
        <v>13</v>
      </c>
      <c r="V48" s="15" t="n">
        <v>0</v>
      </c>
      <c r="W48" s="15" t="n">
        <v>1</v>
      </c>
      <c r="X48" s="15" t="n">
        <v>3</v>
      </c>
      <c r="Y48" s="21" t="n">
        <v>0.05</v>
      </c>
      <c r="Z48" s="21" t="n">
        <v>0.2</v>
      </c>
      <c r="AA48" s="10">
        <f>P48-S48*E48-6*F48-G48</f>
        <v>-40000</v>
      </c>
      <c r="AB48" s="10">
        <f>Q48-T48*E48-6*F48-G48</f>
        <v>-27200</v>
      </c>
      <c r="AC48" s="10">
        <f>R48-U48*E48-6*F48-G48</f>
        <v>1100</v>
      </c>
      <c r="AD48" s="10">
        <f>J48+V48*M48+S48*(N48+O48/60)</f>
        <v>260</v>
      </c>
      <c r="AE48" s="10">
        <f>I48+W48*M48+T48*(N48+O48/60)</f>
        <v>228</v>
      </c>
      <c r="AF48" s="10">
        <f>H48+X48*M48+U48*(N48+O48/60)</f>
        <v>317</v>
      </c>
      <c r="AG48" s="10">
        <f>IF(AE48&gt;0,AB48/AE48,0)</f>
        <v>-119.2982456140351</v>
      </c>
      <c r="AH48" s="10">
        <f>IF(W48&gt;0,(Q48-T48*E48)/W48,D48-E48)</f>
        <v>12800</v>
      </c>
      <c r="AI48" s="10">
        <f>IF(AH48&gt;0,(Hedef!$C$5+6*F48+G48)/AH48,0)</f>
        <v>14.375</v>
      </c>
      <c r="AJ48" s="10">
        <f>IF(AI48&gt;0,AI48/Z48,0)</f>
        <v>71.875</v>
      </c>
      <c r="AK48" s="10">
        <f>IF(AI48&gt;0,AI48/Y48,0)</f>
        <v>287.5</v>
      </c>
      <c r="AL48" s="10">
        <f>G48+F48*L48/30</f>
        <v>35000</v>
      </c>
      <c r="AM48" s="7" t="str">
        <f>IF(AB48&gt;=Hedef!$C$5,"evet","hayır")</f>
        <v>hayır</v>
      </c>
      <c r="AN48" s="7" t="str">
        <f>IF(AG48&gt;=Hedef!$C$8,"evet","hayır")</f>
        <v>hayır</v>
      </c>
      <c r="AO48" s="7" t="str">
        <f>IF(AE48&lt;=Hedef!$C$14,"evet","hayır")</f>
        <v>evet</v>
      </c>
      <c r="AP48" s="10">
        <f>AB48/Hedef!$C$4</f>
        <v>-566.6666666666666</v>
      </c>
    </row>
    <row r="49">
      <c r="A49" s="7" t="str">
        <f>Secenekler!A49</f>
        <v>vize-operasyon-c</v>
      </c>
      <c r="B49" s="7" t="str">
        <f>Secenekler!C49</f>
        <v>Başvurucu evrak kontrolü: 299/599 ₺ rapor, SEO ile</v>
      </c>
      <c r="C49" s="17" t="inlineStr">
        <is>
          <t>tek seferlik</t>
        </is>
      </c>
      <c r="D49" s="15" t="n">
        <v>399</v>
      </c>
      <c r="E49" s="15" t="n">
        <v>49</v>
      </c>
      <c r="F49" s="15" t="n">
        <v>2000</v>
      </c>
      <c r="G49" s="15" t="n">
        <v>20000</v>
      </c>
      <c r="H49" s="15" t="n">
        <v>120</v>
      </c>
      <c r="I49" s="15" t="n">
        <v>190</v>
      </c>
      <c r="J49" s="15" t="n">
        <v>330</v>
      </c>
      <c r="K49" s="15" t="n">
        <v>70</v>
      </c>
      <c r="L49" s="15" t="n">
        <v>140</v>
      </c>
      <c r="M49" s="15" t="n">
        <v>0.5</v>
      </c>
      <c r="N49" s="15" t="n">
        <v>1</v>
      </c>
      <c r="O49" s="15" t="n">
        <v>10</v>
      </c>
      <c r="P49" s="15" t="n">
        <v>1995</v>
      </c>
      <c r="Q49" s="15" t="n">
        <v>5985</v>
      </c>
      <c r="R49" s="15" t="n">
        <v>15960</v>
      </c>
      <c r="S49" s="15" t="n">
        <v>5</v>
      </c>
      <c r="T49" s="15" t="n">
        <v>15</v>
      </c>
      <c r="U49" s="15" t="n">
        <v>40</v>
      </c>
      <c r="V49" s="15" t="n">
        <v>5</v>
      </c>
      <c r="W49" s="15" t="n">
        <v>15</v>
      </c>
      <c r="X49" s="15" t="n">
        <v>40</v>
      </c>
      <c r="Y49" s="21" t="n">
        <v>0.005</v>
      </c>
      <c r="Z49" s="21" t="n">
        <v>0.02</v>
      </c>
      <c r="AA49" s="10">
        <f>P49-S49*E49-6*F49-G49</f>
        <v>-30250</v>
      </c>
      <c r="AB49" s="10">
        <f>Q49-T49*E49-6*F49-G49</f>
        <v>-26750</v>
      </c>
      <c r="AC49" s="10">
        <f>R49-U49*E49-6*F49-G49</f>
        <v>-18000</v>
      </c>
      <c r="AD49" s="10">
        <f>J49+V49*M49+S49*(N49+O49/60)</f>
        <v>338.3333333333333</v>
      </c>
      <c r="AE49" s="10">
        <f>I49+W49*M49+T49*(N49+O49/60)</f>
        <v>215</v>
      </c>
      <c r="AF49" s="10">
        <f>H49+X49*M49+U49*(N49+O49/60)</f>
        <v>186.6666666666667</v>
      </c>
      <c r="AG49" s="10">
        <f>IF(AE49&gt;0,AB49/AE49,0)</f>
        <v>-124.4186046511628</v>
      </c>
      <c r="AH49" s="10">
        <f>IF(W49&gt;0,(Q49-T49*E49)/W49,D49-E49)</f>
        <v>350</v>
      </c>
      <c r="AI49" s="10">
        <f>IF(AH49&gt;0,(Hedef!$C$5+6*F49+G49)/AH49,0)</f>
        <v>502.8571428571428</v>
      </c>
      <c r="AJ49" s="10">
        <f>IF(AI49&gt;0,AI49/Z49,0)</f>
        <v>25142.85714285714</v>
      </c>
      <c r="AK49" s="10">
        <f>IF(AI49&gt;0,AI49/Y49,0)</f>
        <v>100571.4285714286</v>
      </c>
      <c r="AL49" s="10">
        <f>G49+F49*L49/30</f>
        <v>29333.33333333334</v>
      </c>
      <c r="AM49" s="7" t="str">
        <f>IF(AB49&gt;=Hedef!$C$5,"evet","hayır")</f>
        <v>hayır</v>
      </c>
      <c r="AN49" s="7" t="str">
        <f>IF(AG49&gt;=Hedef!$C$8,"evet","hayır")</f>
        <v>hayır</v>
      </c>
      <c r="AO49" s="7" t="str">
        <f>IF(AE49&lt;=Hedef!$C$14,"evet","hayır")</f>
        <v>evet</v>
      </c>
      <c r="AP49" s="10">
        <f>AB49/Hedef!$C$4</f>
        <v>-557.2916666666666</v>
      </c>
    </row>
    <row r="50">
      <c r="A50" s="7" t="str">
        <f>Secenekler!A50</f>
        <v>software-factory-a</v>
      </c>
      <c r="B50" s="7" t="str">
        <f>Secenekler!C50</f>
        <v>Sabit fiyatlı kanıtlı MVP paketi (S/M/L)</v>
      </c>
      <c r="C50" s="17" t="inlineStr">
        <is>
          <t>proje</t>
        </is>
      </c>
      <c r="D50" s="15" t="n">
        <v>240000</v>
      </c>
      <c r="E50" s="15" t="n">
        <v>8000</v>
      </c>
      <c r="F50" s="15" t="n">
        <v>10000</v>
      </c>
      <c r="G50" s="15" t="n">
        <v>25000</v>
      </c>
      <c r="H50" s="15" t="n">
        <v>80</v>
      </c>
      <c r="I50" s="15" t="n">
        <v>105</v>
      </c>
      <c r="J50" s="15" t="n">
        <v>160</v>
      </c>
      <c r="K50" s="15" t="n">
        <v>45</v>
      </c>
      <c r="L50" s="15" t="n">
        <v>90</v>
      </c>
      <c r="M50" s="15" t="n">
        <v>16</v>
      </c>
      <c r="N50" s="15" t="n">
        <v>47</v>
      </c>
      <c r="O50" s="15" t="n">
        <v>60</v>
      </c>
      <c r="P50" s="15" t="n">
        <v>50000</v>
      </c>
      <c r="Q50" s="15" t="n">
        <v>270000</v>
      </c>
      <c r="R50" s="15" t="n">
        <v>680000</v>
      </c>
      <c r="S50" s="15" t="n">
        <v>2</v>
      </c>
      <c r="T50" s="15" t="n">
        <v>7</v>
      </c>
      <c r="U50" s="15" t="n">
        <v>12</v>
      </c>
      <c r="V50" s="15" t="n">
        <v>1</v>
      </c>
      <c r="W50" s="15" t="n">
        <v>4</v>
      </c>
      <c r="X50" s="15" t="n">
        <v>5</v>
      </c>
      <c r="Y50" s="21" t="n">
        <v>0.05</v>
      </c>
      <c r="Z50" s="21" t="n">
        <v>0.2</v>
      </c>
      <c r="AA50" s="10">
        <f>P50-S50*E50-6*F50-G50</f>
        <v>-51000</v>
      </c>
      <c r="AB50" s="10">
        <f>Q50-T50*E50-6*F50-G50</f>
        <v>129000</v>
      </c>
      <c r="AC50" s="10">
        <f>R50-U50*E50-6*F50-G50</f>
        <v>499000</v>
      </c>
      <c r="AD50" s="10">
        <f>J50+V50*M50+S50*(N50+O50/60)</f>
        <v>272</v>
      </c>
      <c r="AE50" s="10">
        <f>I50+W50*M50+T50*(N50+O50/60)</f>
        <v>505</v>
      </c>
      <c r="AF50" s="10">
        <f>H50+X50*M50+U50*(N50+O50/60)</f>
        <v>736</v>
      </c>
      <c r="AG50" s="10">
        <f>IF(AE50&gt;0,AB50/AE50,0)</f>
        <v>255.4455445544554</v>
      </c>
      <c r="AH50" s="10">
        <f>IF(W50&gt;0,(Q50-T50*E50)/W50,D50-E50)</f>
        <v>53500</v>
      </c>
      <c r="AI50" s="10">
        <f>IF(AH50&gt;0,(Hedef!$C$5+6*F50+G50)/AH50,0)</f>
        <v>4.280373831775701</v>
      </c>
      <c r="AJ50" s="10">
        <f>IF(AI50&gt;0,AI50/Z50,0)</f>
        <v>21.4018691588785</v>
      </c>
      <c r="AK50" s="10">
        <f>IF(AI50&gt;0,AI50/Y50,0)</f>
        <v>85.607476635514</v>
      </c>
      <c r="AL50" s="10">
        <f>G50+F50*L50/30</f>
        <v>55000</v>
      </c>
      <c r="AM50" s="7" t="str">
        <f>IF(AB50&gt;=Hedef!$C$5,"evet","hayır")</f>
        <v>hayır</v>
      </c>
      <c r="AN50" s="7" t="str">
        <f>IF(AG50&gt;=Hedef!$C$8,"evet","hayır")</f>
        <v>hayır</v>
      </c>
      <c r="AO50" s="7" t="str">
        <f>IF(AE50&lt;=Hedef!$C$14,"evet","hayır")</f>
        <v>evet</v>
      </c>
      <c r="AP50" s="10">
        <f>AB50/Hedef!$C$4</f>
        <v>2687.5</v>
      </c>
    </row>
    <row r="51">
      <c r="A51" s="7" t="str">
        <f>Secenekler!A51</f>
        <v>software-factory-b</v>
      </c>
      <c r="B51" s="7" t="str">
        <f>Secenekler!C51</f>
        <v>Tek repo için ajan PR makbuzu kurulum hizmeti</v>
      </c>
      <c r="C51" s="17" t="inlineStr">
        <is>
          <t>karma</t>
        </is>
      </c>
      <c r="D51" s="15" t="n">
        <v>24000</v>
      </c>
      <c r="E51" s="15" t="n">
        <v>2000</v>
      </c>
      <c r="F51" s="15" t="n">
        <v>3000</v>
      </c>
      <c r="G51" s="15" t="n">
        <v>8000</v>
      </c>
      <c r="H51" s="15" t="n">
        <v>60</v>
      </c>
      <c r="I51" s="15" t="n">
        <v>100</v>
      </c>
      <c r="J51" s="15" t="n">
        <v>170</v>
      </c>
      <c r="K51" s="15" t="n">
        <v>45</v>
      </c>
      <c r="L51" s="15" t="n">
        <v>120</v>
      </c>
      <c r="M51" s="15" t="n">
        <v>6</v>
      </c>
      <c r="N51" s="15" t="n">
        <v>20</v>
      </c>
      <c r="O51" s="15" t="n">
        <v>60</v>
      </c>
      <c r="P51" s="15" t="n">
        <v>0</v>
      </c>
      <c r="Q51" s="15" t="n">
        <v>48000</v>
      </c>
      <c r="R51" s="15" t="n">
        <v>86400</v>
      </c>
      <c r="S51" s="15" t="n">
        <v>0</v>
      </c>
      <c r="T51" s="15" t="n">
        <v>2</v>
      </c>
      <c r="U51" s="15" t="n">
        <v>6</v>
      </c>
      <c r="V51" s="15" t="n">
        <v>0</v>
      </c>
      <c r="W51" s="15" t="n">
        <v>2</v>
      </c>
      <c r="X51" s="15" t="n">
        <v>3</v>
      </c>
      <c r="Y51" s="21" t="n">
        <v>0.02</v>
      </c>
      <c r="Z51" s="21" t="n">
        <v>0.08</v>
      </c>
      <c r="AA51" s="10">
        <f>P51-S51*E51-6*F51-G51</f>
        <v>-26000</v>
      </c>
      <c r="AB51" s="10">
        <f>Q51-T51*E51-6*F51-G51</f>
        <v>18000</v>
      </c>
      <c r="AC51" s="10">
        <f>R51-U51*E51-6*F51-G51</f>
        <v>48400</v>
      </c>
      <c r="AD51" s="10">
        <f>J51+V51*M51+S51*(N51+O51/60)</f>
        <v>170</v>
      </c>
      <c r="AE51" s="10">
        <f>I51+W51*M51+T51*(N51+O51/60)</f>
        <v>154</v>
      </c>
      <c r="AF51" s="10">
        <f>H51+X51*M51+U51*(N51+O51/60)</f>
        <v>204</v>
      </c>
      <c r="AG51" s="10">
        <f>IF(AE51&gt;0,AB51/AE51,0)</f>
        <v>116.8831168831169</v>
      </c>
      <c r="AH51" s="10">
        <f>IF(W51&gt;0,(Q51-T51*E51)/W51,D51-E51)</f>
        <v>22000</v>
      </c>
      <c r="AI51" s="10">
        <f>IF(AH51&gt;0,(Hedef!$C$5+6*F51+G51)/AH51,0)</f>
        <v>7.727272727272728</v>
      </c>
      <c r="AJ51" s="10">
        <f>IF(AI51&gt;0,AI51/Z51,0)</f>
        <v>96.5909090909091</v>
      </c>
      <c r="AK51" s="10">
        <f>IF(AI51&gt;0,AI51/Y51,0)</f>
        <v>386.3636363636364</v>
      </c>
      <c r="AL51" s="10">
        <f>G51+F51*L51/30</f>
        <v>20000</v>
      </c>
      <c r="AM51" s="7" t="str">
        <f>IF(AB51&gt;=Hedef!$C$5,"evet","hayır")</f>
        <v>hayır</v>
      </c>
      <c r="AN51" s="7" t="str">
        <f>IF(AG51&gt;=Hedef!$C$8,"evet","hayır")</f>
        <v>hayır</v>
      </c>
      <c r="AO51" s="7" t="str">
        <f>IF(AE51&lt;=Hedef!$C$14,"evet","hayır")</f>
        <v>evet</v>
      </c>
      <c r="AP51" s="10">
        <f>AB51/Hedef!$C$4</f>
        <v>375</v>
      </c>
    </row>
    <row r="52">
      <c r="A52" s="7" t="str">
        <f>Secenekler!A52</f>
        <v>software-factory-c</v>
      </c>
      <c r="B52" s="7" t="str">
        <f>Secenekler!C52</f>
        <v>Ajanslara beyaz etiket kanıtlı MVP kapasitesi</v>
      </c>
      <c r="C52" s="17" t="inlineStr">
        <is>
          <t>proje</t>
        </is>
      </c>
      <c r="D52" s="15" t="n">
        <v>204000</v>
      </c>
      <c r="E52" s="15" t="n">
        <v>6000</v>
      </c>
      <c r="F52" s="15" t="n">
        <v>10000</v>
      </c>
      <c r="G52" s="15" t="n">
        <v>30000</v>
      </c>
      <c r="H52" s="15" t="n">
        <v>110</v>
      </c>
      <c r="I52" s="15" t="n">
        <v>135</v>
      </c>
      <c r="J52" s="15" t="n">
        <v>200</v>
      </c>
      <c r="K52" s="15" t="n">
        <v>75</v>
      </c>
      <c r="L52" s="15" t="n">
        <v>130</v>
      </c>
      <c r="M52" s="15" t="n">
        <v>20</v>
      </c>
      <c r="N52" s="15" t="n">
        <v>30</v>
      </c>
      <c r="O52" s="15" t="n">
        <v>60</v>
      </c>
      <c r="P52" s="15" t="n">
        <v>0</v>
      </c>
      <c r="Q52" s="15" t="n">
        <v>80750</v>
      </c>
      <c r="R52" s="15" t="n">
        <v>284750</v>
      </c>
      <c r="S52" s="15" t="n">
        <v>0</v>
      </c>
      <c r="T52" s="15" t="n">
        <v>2</v>
      </c>
      <c r="U52" s="15" t="n">
        <v>4</v>
      </c>
      <c r="V52" s="15" t="n">
        <v>0</v>
      </c>
      <c r="W52" s="15" t="n">
        <v>1</v>
      </c>
      <c r="X52" s="15" t="n">
        <v>2</v>
      </c>
      <c r="Y52" s="21" t="n">
        <v>0.02</v>
      </c>
      <c r="Z52" s="21" t="n">
        <v>0.1</v>
      </c>
      <c r="AA52" s="10">
        <f>P52-S52*E52-6*F52-G52</f>
        <v>-90000</v>
      </c>
      <c r="AB52" s="10">
        <f>Q52-T52*E52-6*F52-G52</f>
        <v>-21250</v>
      </c>
      <c r="AC52" s="10">
        <f>R52-U52*E52-6*F52-G52</f>
        <v>170750</v>
      </c>
      <c r="AD52" s="10">
        <f>J52+V52*M52+S52*(N52+O52/60)</f>
        <v>200</v>
      </c>
      <c r="AE52" s="10">
        <f>I52+W52*M52+T52*(N52+O52/60)</f>
        <v>217</v>
      </c>
      <c r="AF52" s="10">
        <f>H52+X52*M52+U52*(N52+O52/60)</f>
        <v>274</v>
      </c>
      <c r="AG52" s="10">
        <f>IF(AE52&gt;0,AB52/AE52,0)</f>
        <v>-97.92626728110599</v>
      </c>
      <c r="AH52" s="10">
        <f>IF(W52&gt;0,(Q52-T52*E52)/W52,D52-E52)</f>
        <v>68750</v>
      </c>
      <c r="AI52" s="10">
        <f>IF(AH52&gt;0,(Hedef!$C$5+6*F52+G52)/AH52,0)</f>
        <v>3.403636363636364</v>
      </c>
      <c r="AJ52" s="10">
        <f>IF(AI52&gt;0,AI52/Z52,0)</f>
        <v>34.03636363636364</v>
      </c>
      <c r="AK52" s="10">
        <f>IF(AI52&gt;0,AI52/Y52,0)</f>
        <v>170.1818181818182</v>
      </c>
      <c r="AL52" s="10">
        <f>G52+F52*L52/30</f>
        <v>73333.33333333334</v>
      </c>
      <c r="AM52" s="7" t="str">
        <f>IF(AB52&gt;=Hedef!$C$5,"evet","hayır")</f>
        <v>hayır</v>
      </c>
      <c r="AN52" s="7" t="str">
        <f>IF(AG52&gt;=Hedef!$C$8,"evet","hayır")</f>
        <v>hayır</v>
      </c>
      <c r="AO52" s="7" t="str">
        <f>IF(AE52&lt;=Hedef!$C$14,"evet","hayır")</f>
        <v>evet</v>
      </c>
      <c r="AP52" s="10">
        <f>AB52/Hedef!$C$4</f>
        <v>-442.7083333333333</v>
      </c>
    </row>
    <row r="53">
      <c r="A53" s="7" t="str">
        <f>Secenekler!A53</f>
        <v>strateji-simulatoru-a</v>
      </c>
      <c r="B53" s="7" t="str">
        <f>Secenekler!C53</f>
        <v>Kuluçka ve BİGG uygulayıcıya white-label lisans</v>
      </c>
      <c r="C53" s="17" t="inlineStr">
        <is>
          <t>yıllık peşin</t>
        </is>
      </c>
      <c r="D53" s="15" t="n">
        <v>24900</v>
      </c>
      <c r="E53" s="15" t="n">
        <v>2000</v>
      </c>
      <c r="F53" s="15" t="n">
        <v>500</v>
      </c>
      <c r="G53" s="15" t="n">
        <v>8500</v>
      </c>
      <c r="H53" s="15" t="n">
        <v>40</v>
      </c>
      <c r="I53" s="15" t="n">
        <v>65</v>
      </c>
      <c r="J53" s="15" t="n">
        <v>100</v>
      </c>
      <c r="K53" s="15" t="n">
        <v>105</v>
      </c>
      <c r="L53" s="15" t="n">
        <v>240</v>
      </c>
      <c r="M53" s="15" t="n">
        <v>12</v>
      </c>
      <c r="N53" s="15" t="n">
        <v>14</v>
      </c>
      <c r="O53" s="15" t="n">
        <v>60</v>
      </c>
      <c r="P53" s="15" t="n">
        <v>0</v>
      </c>
      <c r="Q53" s="15" t="n">
        <v>24900</v>
      </c>
      <c r="R53" s="15" t="n">
        <v>44700</v>
      </c>
      <c r="S53" s="15" t="n">
        <v>0</v>
      </c>
      <c r="T53" s="15" t="n">
        <v>1</v>
      </c>
      <c r="U53" s="15" t="n">
        <v>3</v>
      </c>
      <c r="V53" s="15" t="n">
        <v>0</v>
      </c>
      <c r="W53" s="15" t="n">
        <v>1</v>
      </c>
      <c r="X53" s="15" t="n">
        <v>3</v>
      </c>
      <c r="Y53" s="21" t="n">
        <v>0.03</v>
      </c>
      <c r="Z53" s="21" t="n">
        <v>0.1</v>
      </c>
      <c r="AA53" s="10">
        <f>P53-S53*E53-6*F53-G53</f>
        <v>-11500</v>
      </c>
      <c r="AB53" s="10">
        <f>Q53-T53*E53-6*F53-G53</f>
        <v>11400</v>
      </c>
      <c r="AC53" s="10">
        <f>R53-U53*E53-6*F53-G53</f>
        <v>27200</v>
      </c>
      <c r="AD53" s="10">
        <f>J53+V53*M53+S53*(N53+O53/60)</f>
        <v>100</v>
      </c>
      <c r="AE53" s="10">
        <f>I53+W53*M53+T53*(N53+O53/60)</f>
        <v>92</v>
      </c>
      <c r="AF53" s="10">
        <f>H53+X53*M53+U53*(N53+O53/60)</f>
        <v>121</v>
      </c>
      <c r="AG53" s="10">
        <f>IF(AE53&gt;0,AB53/AE53,0)</f>
        <v>123.9130434782609</v>
      </c>
      <c r="AH53" s="10">
        <f>IF(W53&gt;0,(Q53-T53*E53)/W53,D53-E53)</f>
        <v>22900</v>
      </c>
      <c r="AI53" s="10">
        <f>IF(AH53&gt;0,(Hedef!$C$5+6*F53+G53)/AH53,0)</f>
        <v>6.790393013100437</v>
      </c>
      <c r="AJ53" s="10">
        <f>IF(AI53&gt;0,AI53/Z53,0)</f>
        <v>67.90393013100437</v>
      </c>
      <c r="AK53" s="10">
        <f>IF(AI53&gt;0,AI53/Y53,0)</f>
        <v>226.3464337700146</v>
      </c>
      <c r="AL53" s="10">
        <f>G53+F53*L53/30</f>
        <v>12500</v>
      </c>
      <c r="AM53" s="7" t="str">
        <f>IF(AB53&gt;=Hedef!$C$5,"evet","hayır")</f>
        <v>hayır</v>
      </c>
      <c r="AN53" s="7" t="str">
        <f>IF(AG53&gt;=Hedef!$C$8,"evet","hayır")</f>
        <v>hayır</v>
      </c>
      <c r="AO53" s="7" t="str">
        <f>IF(AE53&lt;=Hedef!$C$14,"evet","hayır")</f>
        <v>evet</v>
      </c>
      <c r="AP53" s="10">
        <f>AB53/Hedef!$C$4</f>
        <v>237.5</v>
      </c>
    </row>
    <row r="54">
      <c r="A54" s="7" t="str">
        <f>Secenekler!A54</f>
        <v>strateji-simulatoru-b</v>
      </c>
      <c r="B54" s="7" t="str">
        <f>Secenekler!C54</f>
        <v>Girişimci adayına ücretli yönetici raporu (PDF)</v>
      </c>
      <c r="C54" s="17" t="inlineStr">
        <is>
          <t>tek seferlik</t>
        </is>
      </c>
      <c r="D54" s="15" t="n">
        <v>390</v>
      </c>
      <c r="E54" s="15" t="n">
        <v>31</v>
      </c>
      <c r="F54" s="15" t="n">
        <v>755</v>
      </c>
      <c r="G54" s="15" t="n">
        <v>18500</v>
      </c>
      <c r="H54" s="15" t="n">
        <v>45</v>
      </c>
      <c r="I54" s="15" t="n">
        <v>70</v>
      </c>
      <c r="J54" s="15" t="n">
        <v>110</v>
      </c>
      <c r="K54" s="15" t="n">
        <v>35</v>
      </c>
      <c r="L54" s="15" t="n">
        <v>90</v>
      </c>
      <c r="M54" s="15" t="n">
        <v>0.5</v>
      </c>
      <c r="N54" s="15" t="n">
        <v>0</v>
      </c>
      <c r="O54" s="15" t="n">
        <v>10</v>
      </c>
      <c r="P54" s="15" t="n">
        <v>1800</v>
      </c>
      <c r="Q54" s="15" t="n">
        <v>4500</v>
      </c>
      <c r="R54" s="15" t="n">
        <v>11500</v>
      </c>
      <c r="S54" s="15" t="n">
        <v>8</v>
      </c>
      <c r="T54" s="15" t="n">
        <v>15</v>
      </c>
      <c r="U54" s="15" t="n">
        <v>33</v>
      </c>
      <c r="V54" s="15" t="n">
        <v>8</v>
      </c>
      <c r="W54" s="15" t="n">
        <v>15</v>
      </c>
      <c r="X54" s="15" t="n">
        <v>33</v>
      </c>
      <c r="Y54" s="21" t="n">
        <v>0.02</v>
      </c>
      <c r="Z54" s="21" t="n">
        <v>0.05</v>
      </c>
      <c r="AA54" s="10">
        <f>P54-S54*E54-6*F54-G54</f>
        <v>-21478</v>
      </c>
      <c r="AB54" s="10">
        <f>Q54-T54*E54-6*F54-G54</f>
        <v>-18995</v>
      </c>
      <c r="AC54" s="10">
        <f>R54-U54*E54-6*F54-G54</f>
        <v>-12553</v>
      </c>
      <c r="AD54" s="10">
        <f>J54+V54*M54+S54*(N54+O54/60)</f>
        <v>115.3333333333333</v>
      </c>
      <c r="AE54" s="10">
        <f>I54+W54*M54+T54*(N54+O54/60)</f>
        <v>80</v>
      </c>
      <c r="AF54" s="10">
        <f>H54+X54*M54+U54*(N54+O54/60)</f>
        <v>67</v>
      </c>
      <c r="AG54" s="10">
        <f>IF(AE54&gt;0,AB54/AE54,0)</f>
        <v>-237.4375</v>
      </c>
      <c r="AH54" s="10">
        <f>IF(W54&gt;0,(Q54-T54*E54)/W54,D54-E54)</f>
        <v>269</v>
      </c>
      <c r="AI54" s="10">
        <f>IF(AH54&gt;0,(Hedef!$C$5+6*F54+G54)/AH54,0)</f>
        <v>620.9293680297397</v>
      </c>
      <c r="AJ54" s="10">
        <f>IF(AI54&gt;0,AI54/Z54,0)</f>
        <v>12418.58736059479</v>
      </c>
      <c r="AK54" s="10">
        <f>IF(AI54&gt;0,AI54/Y54,0)</f>
        <v>31046.46840148699</v>
      </c>
      <c r="AL54" s="10">
        <f>G54+F54*L54/30</f>
        <v>20765</v>
      </c>
      <c r="AM54" s="7" t="str">
        <f>IF(AB54&gt;=Hedef!$C$5,"evet","hayır")</f>
        <v>hayır</v>
      </c>
      <c r="AN54" s="7" t="str">
        <f>IF(AG54&gt;=Hedef!$C$8,"evet","hayır")</f>
        <v>hayır</v>
      </c>
      <c r="AO54" s="7" t="str">
        <f>IF(AE54&lt;=Hedef!$C$14,"evet","hayır")</f>
        <v>evet</v>
      </c>
      <c r="AP54" s="10">
        <f>AB54/Hedef!$C$4</f>
        <v>-395.7291666666667</v>
      </c>
    </row>
    <row r="55">
      <c r="A55" s="7" t="str">
        <f>Secenekler!A55</f>
        <v>strateji-simulatoru-c</v>
      </c>
      <c r="B55" s="7" t="str">
        <f>Secenekler!C55</f>
        <v>Mevcut müşterilere değerlendirme raporu ve yorum görüşmesi</v>
      </c>
      <c r="C55" s="17" t="inlineStr">
        <is>
          <t>proje</t>
        </is>
      </c>
      <c r="D55" s="15" t="n">
        <v>1500</v>
      </c>
      <c r="E55" s="15" t="n">
        <v>0</v>
      </c>
      <c r="F55" s="15" t="n">
        <v>125</v>
      </c>
      <c r="G55" s="15" t="n">
        <v>1000</v>
      </c>
      <c r="H55" s="15" t="n">
        <v>12</v>
      </c>
      <c r="I55" s="15" t="n">
        <v>20</v>
      </c>
      <c r="J55" s="15" t="n">
        <v>40</v>
      </c>
      <c r="K55" s="15" t="n">
        <v>10</v>
      </c>
      <c r="L55" s="15" t="n">
        <v>45</v>
      </c>
      <c r="M55" s="15" t="n">
        <v>2</v>
      </c>
      <c r="N55" s="15" t="n">
        <v>5</v>
      </c>
      <c r="O55" s="15" t="n">
        <v>10</v>
      </c>
      <c r="P55" s="15" t="n">
        <v>0</v>
      </c>
      <c r="Q55" s="15" t="n">
        <v>9000</v>
      </c>
      <c r="R55" s="15" t="n">
        <v>18000</v>
      </c>
      <c r="S55" s="15" t="n">
        <v>0</v>
      </c>
      <c r="T55" s="15" t="n">
        <v>6</v>
      </c>
      <c r="U55" s="15" t="n">
        <v>12</v>
      </c>
      <c r="V55" s="15" t="n">
        <v>0</v>
      </c>
      <c r="W55" s="15" t="n">
        <v>6</v>
      </c>
      <c r="X55" s="15" t="n">
        <v>12</v>
      </c>
      <c r="Y55" s="21" t="n">
        <v>0.05</v>
      </c>
      <c r="Z55" s="21" t="n">
        <v>0.15</v>
      </c>
      <c r="AA55" s="10">
        <f>P55-S55*E55-6*F55-G55</f>
        <v>-1750</v>
      </c>
      <c r="AB55" s="10">
        <f>Q55-T55*E55-6*F55-G55</f>
        <v>7250</v>
      </c>
      <c r="AC55" s="10">
        <f>R55-U55*E55-6*F55-G55</f>
        <v>16250</v>
      </c>
      <c r="AD55" s="10">
        <f>J55+V55*M55+S55*(N55+O55/60)</f>
        <v>40</v>
      </c>
      <c r="AE55" s="10">
        <f>I55+W55*M55+T55*(N55+O55/60)</f>
        <v>63</v>
      </c>
      <c r="AF55" s="10">
        <f>H55+X55*M55+U55*(N55+O55/60)</f>
        <v>98</v>
      </c>
      <c r="AG55" s="10">
        <f>IF(AE55&gt;0,AB55/AE55,0)</f>
        <v>115.0793650793651</v>
      </c>
      <c r="AH55" s="10">
        <f>IF(W55&gt;0,(Q55-T55*E55)/W55,D55-E55)</f>
        <v>1500</v>
      </c>
      <c r="AI55" s="10">
        <f>IF(AH55&gt;0,(Hedef!$C$5+6*F55+G55)/AH55,0)</f>
        <v>97.16666666666667</v>
      </c>
      <c r="AJ55" s="10">
        <f>IF(AI55&gt;0,AI55/Z55,0)</f>
        <v>647.7777777777778</v>
      </c>
      <c r="AK55" s="10">
        <f>IF(AI55&gt;0,AI55/Y55,0)</f>
        <v>1943.333333333333</v>
      </c>
      <c r="AL55" s="10">
        <f>G55+F55*L55/30</f>
        <v>1187.5</v>
      </c>
      <c r="AM55" s="7" t="str">
        <f>IF(AB55&gt;=Hedef!$C$5,"evet","hayır")</f>
        <v>hayır</v>
      </c>
      <c r="AN55" s="7" t="str">
        <f>IF(AG55&gt;=Hedef!$C$8,"evet","hayır")</f>
        <v>hayır</v>
      </c>
      <c r="AO55" s="7" t="str">
        <f>IF(AE55&lt;=Hedef!$C$14,"evet","hayır")</f>
        <v>evet</v>
      </c>
      <c r="AP55" s="10">
        <f>AB55/Hedef!$C$4</f>
        <v>151.0416666666667</v>
      </c>
    </row>
    <row r="56">
      <c r="A56" s="7" t="str">
        <f>Secenekler!A56</f>
        <v>ajan-kaynak-koruyucu-a</v>
      </c>
      <c r="B56" s="7" t="str">
        <f>Secenekler!C56</f>
        <v>Pro menü çubuğu uygulaması ve rehber paketi (bireysel geliştirici)</v>
      </c>
      <c r="C56" s="17" t="inlineStr">
        <is>
          <t>karma</t>
        </is>
      </c>
      <c r="D56" s="15" t="n">
        <v>720</v>
      </c>
      <c r="E56" s="15" t="n">
        <v>62</v>
      </c>
      <c r="F56" s="15" t="n">
        <v>460</v>
      </c>
      <c r="G56" s="15" t="n">
        <v>41500</v>
      </c>
      <c r="H56" s="15" t="n">
        <v>100</v>
      </c>
      <c r="I56" s="15" t="n">
        <v>144</v>
      </c>
      <c r="J56" s="15" t="n">
        <v>200</v>
      </c>
      <c r="K56" s="15" t="n">
        <v>56</v>
      </c>
      <c r="L56" s="15" t="n">
        <v>105</v>
      </c>
      <c r="M56" s="15" t="n">
        <v>0.3</v>
      </c>
      <c r="N56" s="15" t="n">
        <v>0</v>
      </c>
      <c r="O56" s="15" t="n">
        <v>10</v>
      </c>
      <c r="P56" s="15" t="n">
        <v>10080</v>
      </c>
      <c r="Q56" s="15" t="n">
        <v>47376</v>
      </c>
      <c r="R56" s="15" t="n">
        <v>200000</v>
      </c>
      <c r="S56" s="15" t="n">
        <v>18</v>
      </c>
      <c r="T56" s="15" t="n">
        <v>74</v>
      </c>
      <c r="U56" s="15" t="n">
        <v>297</v>
      </c>
      <c r="V56" s="15" t="n">
        <v>15</v>
      </c>
      <c r="W56" s="15" t="n">
        <v>62</v>
      </c>
      <c r="X56" s="15" t="n">
        <v>250</v>
      </c>
      <c r="Y56" s="21" t="n">
        <v>0.005</v>
      </c>
      <c r="Z56" s="21" t="n">
        <v>0.02</v>
      </c>
      <c r="AA56" s="10">
        <f>P56-S56*E56-6*F56-G56</f>
        <v>-35296</v>
      </c>
      <c r="AB56" s="10">
        <f>Q56-T56*E56-6*F56-G56</f>
        <v>-1472</v>
      </c>
      <c r="AC56" s="10">
        <f>R56-U56*E56-6*F56-G56</f>
        <v>137326</v>
      </c>
      <c r="AD56" s="10">
        <f>J56+V56*M56+S56*(N56+O56/60)</f>
        <v>207.5</v>
      </c>
      <c r="AE56" s="10">
        <f>I56+W56*M56+T56*(N56+O56/60)</f>
        <v>174.9333333333333</v>
      </c>
      <c r="AF56" s="10">
        <f>H56+X56*M56+U56*(N56+O56/60)</f>
        <v>224.5</v>
      </c>
      <c r="AG56" s="10">
        <f>IF(AE56&gt;0,AB56/AE56,0)</f>
        <v>-8.414634146341463</v>
      </c>
      <c r="AH56" s="10">
        <f>IF(W56&gt;0,(Q56-T56*E56)/W56,D56-E56)</f>
        <v>690.1290322580645</v>
      </c>
      <c r="AI56" s="10">
        <f>IF(AH56&gt;0,(Hedef!$C$5+6*F56+G56)/AH56,0)</f>
        <v>272.789567168365</v>
      </c>
      <c r="AJ56" s="10">
        <f>IF(AI56&gt;0,AI56/Z56,0)</f>
        <v>13639.47835841825</v>
      </c>
      <c r="AK56" s="10">
        <f>IF(AI56&gt;0,AI56/Y56,0)</f>
        <v>54557.91343367299</v>
      </c>
      <c r="AL56" s="10">
        <f>G56+F56*L56/30</f>
        <v>43110</v>
      </c>
      <c r="AM56" s="7" t="str">
        <f>IF(AB56&gt;=Hedef!$C$5,"evet","hayır")</f>
        <v>hayır</v>
      </c>
      <c r="AN56" s="7" t="str">
        <f>IF(AG56&gt;=Hedef!$C$8,"evet","hayır")</f>
        <v>hayır</v>
      </c>
      <c r="AO56" s="7" t="str">
        <f>IF(AE56&lt;=Hedef!$C$14,"evet","hayır")</f>
        <v>evet</v>
      </c>
      <c r="AP56" s="10">
        <f>AB56/Hedef!$C$4</f>
        <v>-30.66666666666667</v>
      </c>
    </row>
    <row r="57">
      <c r="A57" s="7" t="str">
        <f>Secenekler!A57</f>
        <v>ajan-kaynak-koruyucu-b</v>
      </c>
      <c r="B57" s="7" t="str">
        <f>Secenekler!C57</f>
        <v>Rapor-yalnız paket ve destekli kurulum/uyumluluk hizmeti</v>
      </c>
      <c r="C57" s="17" t="inlineStr">
        <is>
          <t>proje</t>
        </is>
      </c>
      <c r="D57" s="15" t="n">
        <v>2880</v>
      </c>
      <c r="E57" s="15" t="n">
        <v>170</v>
      </c>
      <c r="F57" s="15" t="n">
        <v>150</v>
      </c>
      <c r="G57" s="15" t="n">
        <v>3000</v>
      </c>
      <c r="H57" s="15" t="n">
        <v>20</v>
      </c>
      <c r="I57" s="15" t="n">
        <v>32</v>
      </c>
      <c r="J57" s="15" t="n">
        <v>60</v>
      </c>
      <c r="K57" s="15" t="n">
        <v>21</v>
      </c>
      <c r="L57" s="15" t="n">
        <v>60</v>
      </c>
      <c r="M57" s="15" t="n">
        <v>1</v>
      </c>
      <c r="N57" s="15" t="n">
        <v>3</v>
      </c>
      <c r="O57" s="15" t="n">
        <v>15</v>
      </c>
      <c r="P57" s="15" t="n">
        <v>0</v>
      </c>
      <c r="Q57" s="15" t="n">
        <v>18240</v>
      </c>
      <c r="R57" s="15" t="n">
        <v>54720</v>
      </c>
      <c r="S57" s="15" t="n">
        <v>0</v>
      </c>
      <c r="T57" s="15" t="n">
        <v>4</v>
      </c>
      <c r="U57" s="15" t="n">
        <v>12</v>
      </c>
      <c r="V57" s="15" t="n">
        <v>0</v>
      </c>
      <c r="W57" s="15" t="n">
        <v>4</v>
      </c>
      <c r="X57" s="15" t="n">
        <v>12</v>
      </c>
      <c r="Y57" s="21" t="n">
        <v>0.01</v>
      </c>
      <c r="Z57" s="21" t="n">
        <v>0.03</v>
      </c>
      <c r="AA57" s="10">
        <f>P57-S57*E57-6*F57-G57</f>
        <v>-3900</v>
      </c>
      <c r="AB57" s="10">
        <f>Q57-T57*E57-6*F57-G57</f>
        <v>13660</v>
      </c>
      <c r="AC57" s="10">
        <f>R57-U57*E57-6*F57-G57</f>
        <v>48780</v>
      </c>
      <c r="AD57" s="10">
        <f>J57+V57*M57+S57*(N57+O57/60)</f>
        <v>60</v>
      </c>
      <c r="AE57" s="10">
        <f>I57+W57*M57+T57*(N57+O57/60)</f>
        <v>49</v>
      </c>
      <c r="AF57" s="10">
        <f>H57+X57*M57+U57*(N57+O57/60)</f>
        <v>71</v>
      </c>
      <c r="AG57" s="10">
        <f>IF(AE57&gt;0,AB57/AE57,0)</f>
        <v>278.7755102040816</v>
      </c>
      <c r="AH57" s="10">
        <f>IF(W57&gt;0,(Q57-T57*E57)/W57,D57-E57)</f>
        <v>4390</v>
      </c>
      <c r="AI57" s="10">
        <f>IF(AH57&gt;0,(Hedef!$C$5+6*F57+G57)/AH57,0)</f>
        <v>33.69020501138952</v>
      </c>
      <c r="AJ57" s="10">
        <f>IF(AI57&gt;0,AI57/Z57,0)</f>
        <v>1123.006833712984</v>
      </c>
      <c r="AK57" s="10">
        <f>IF(AI57&gt;0,AI57/Y57,0)</f>
        <v>3369.020501138952</v>
      </c>
      <c r="AL57" s="10">
        <f>G57+F57*L57/30</f>
        <v>3300</v>
      </c>
      <c r="AM57" s="7" t="str">
        <f>IF(AB57&gt;=Hedef!$C$5,"evet","hayır")</f>
        <v>hayır</v>
      </c>
      <c r="AN57" s="7" t="str">
        <f>IF(AG57&gt;=Hedef!$C$8,"evet","hayır")</f>
        <v>hayır</v>
      </c>
      <c r="AO57" s="7" t="str">
        <f>IF(AE57&lt;=Hedef!$C$14,"evet","hayır")</f>
        <v>evet</v>
      </c>
      <c r="AP57" s="10">
        <f>AB57/Hedef!$C$4</f>
        <v>284.5833333333333</v>
      </c>
    </row>
    <row r="58">
      <c r="A58" s="7" t="str">
        <f>Secenekler!A58</f>
        <v>ajan-kaynak-koruyucu-c</v>
      </c>
      <c r="B58" s="7" t="str">
        <f>Secenekler!C58</f>
        <v>Orkestratör ortaklığı ve kurumsal sponsorluk (kabul API'si)</v>
      </c>
      <c r="C58" s="17" t="inlineStr">
        <is>
          <t>aylık abonelik</t>
        </is>
      </c>
      <c r="D58" s="15" t="n">
        <v>384</v>
      </c>
      <c r="E58" s="15" t="n">
        <v>0</v>
      </c>
      <c r="F58" s="15" t="n">
        <v>50</v>
      </c>
      <c r="G58" s="15" t="n">
        <v>1000</v>
      </c>
      <c r="H58" s="15" t="n">
        <v>12</v>
      </c>
      <c r="I58" s="15" t="n">
        <v>20</v>
      </c>
      <c r="J58" s="15" t="n">
        <v>30</v>
      </c>
      <c r="K58" s="15" t="n">
        <v>28</v>
      </c>
      <c r="L58" s="15" t="n">
        <v>75</v>
      </c>
      <c r="M58" s="15" t="n">
        <v>4</v>
      </c>
      <c r="N58" s="15" t="n">
        <v>1</v>
      </c>
      <c r="O58" s="15" t="n">
        <v>15</v>
      </c>
      <c r="P58" s="15" t="n">
        <v>0</v>
      </c>
      <c r="Q58" s="15" t="n">
        <v>2304</v>
      </c>
      <c r="R58" s="15" t="n">
        <v>26880</v>
      </c>
      <c r="S58" s="15" t="n">
        <v>0</v>
      </c>
      <c r="T58" s="15" t="n">
        <v>6</v>
      </c>
      <c r="U58" s="15" t="n">
        <v>14</v>
      </c>
      <c r="V58" s="15" t="n">
        <v>0</v>
      </c>
      <c r="W58" s="15" t="n">
        <v>2</v>
      </c>
      <c r="X58" s="15" t="n">
        <v>5</v>
      </c>
      <c r="Y58" s="21" t="n">
        <v>0.005</v>
      </c>
      <c r="Z58" s="21" t="n">
        <v>0.02</v>
      </c>
      <c r="AA58" s="10">
        <f>P58-S58*E58-6*F58-G58</f>
        <v>-1300</v>
      </c>
      <c r="AB58" s="10">
        <f>Q58-T58*E58-6*F58-G58</f>
        <v>1004</v>
      </c>
      <c r="AC58" s="10">
        <f>R58-U58*E58-6*F58-G58</f>
        <v>25580</v>
      </c>
      <c r="AD58" s="10">
        <f>J58+V58*M58+S58*(N58+O58/60)</f>
        <v>30</v>
      </c>
      <c r="AE58" s="10">
        <f>I58+W58*M58+T58*(N58+O58/60)</f>
        <v>35.5</v>
      </c>
      <c r="AF58" s="10">
        <f>H58+X58*M58+U58*(N58+O58/60)</f>
        <v>49.5</v>
      </c>
      <c r="AG58" s="10">
        <f>IF(AE58&gt;0,AB58/AE58,0)</f>
        <v>28.28169014084507</v>
      </c>
      <c r="AH58" s="10">
        <f>IF(W58&gt;0,(Q58-T58*E58)/W58,D58-E58)</f>
        <v>1152</v>
      </c>
      <c r="AI58" s="10">
        <f>IF(AH58&gt;0,(Hedef!$C$5+6*F58+G58)/AH58,0)</f>
        <v>126.1284722222222</v>
      </c>
      <c r="AJ58" s="10">
        <f>IF(AI58&gt;0,AI58/Z58,0)</f>
        <v>6306.423611111111</v>
      </c>
      <c r="AK58" s="10">
        <f>IF(AI58&gt;0,AI58/Y58,0)</f>
        <v>25225.69444444445</v>
      </c>
      <c r="AL58" s="10">
        <f>G58+F58*L58/30</f>
        <v>1125</v>
      </c>
      <c r="AM58" s="7" t="str">
        <f>IF(AB58&gt;=Hedef!$C$5,"evet","hayır")</f>
        <v>hayır</v>
      </c>
      <c r="AN58" s="7" t="str">
        <f>IF(AG58&gt;=Hedef!$C$8,"evet","hayır")</f>
        <v>hayır</v>
      </c>
      <c r="AO58" s="7" t="str">
        <f>IF(AE58&lt;=Hedef!$C$14,"evet","hayır")</f>
        <v>evet</v>
      </c>
      <c r="AP58" s="10">
        <f>AB58/Hedef!$C$4</f>
        <v>20.91666666666667</v>
      </c>
    </row>
    <row r="59">
      <c r="A59" s="7" t="str">
        <f>Secenekler!A59</f>
        <v>actionplan-a</v>
      </c>
      <c r="B59" s="7" t="str">
        <f>Secenekler!C59</f>
        <v>Ajan görev paketi: açık çekirdek ve Pro şablonlar</v>
      </c>
      <c r="C59" s="17" t="inlineStr">
        <is>
          <t>tek seferlik</t>
        </is>
      </c>
      <c r="D59" s="15" t="n">
        <v>2160</v>
      </c>
      <c r="E59" s="15" t="n">
        <v>240</v>
      </c>
      <c r="F59" s="15" t="n">
        <v>5500</v>
      </c>
      <c r="G59" s="15" t="n">
        <v>10000</v>
      </c>
      <c r="H59" s="15" t="n">
        <v>100</v>
      </c>
      <c r="I59" s="15" t="n">
        <v>160</v>
      </c>
      <c r="J59" s="15" t="n">
        <v>240</v>
      </c>
      <c r="K59" s="15" t="n">
        <v>50</v>
      </c>
      <c r="L59" s="15" t="n">
        <v>90</v>
      </c>
      <c r="M59" s="15" t="n">
        <v>1.5</v>
      </c>
      <c r="N59" s="15" t="n">
        <v>0</v>
      </c>
      <c r="O59" s="15" t="n">
        <v>5</v>
      </c>
      <c r="P59" s="15" t="n">
        <v>10800</v>
      </c>
      <c r="Q59" s="15" t="n">
        <v>97200</v>
      </c>
      <c r="R59" s="15" t="n">
        <v>259200</v>
      </c>
      <c r="S59" s="15" t="n">
        <v>5</v>
      </c>
      <c r="T59" s="15" t="n">
        <v>45</v>
      </c>
      <c r="U59" s="15" t="n">
        <v>120</v>
      </c>
      <c r="V59" s="15" t="n">
        <v>5</v>
      </c>
      <c r="W59" s="15" t="n">
        <v>45</v>
      </c>
      <c r="X59" s="15" t="n">
        <v>120</v>
      </c>
      <c r="Y59" s="21" t="n">
        <v>0.03</v>
      </c>
      <c r="Z59" s="21" t="n">
        <v>0.08</v>
      </c>
      <c r="AA59" s="10">
        <f>P59-S59*E59-6*F59-G59</f>
        <v>-33400</v>
      </c>
      <c r="AB59" s="10">
        <f>Q59-T59*E59-6*F59-G59</f>
        <v>43400</v>
      </c>
      <c r="AC59" s="10">
        <f>R59-U59*E59-6*F59-G59</f>
        <v>187400</v>
      </c>
      <c r="AD59" s="10">
        <f>J59+V59*M59+S59*(N59+O59/60)</f>
        <v>247.9166666666667</v>
      </c>
      <c r="AE59" s="10">
        <f>I59+W59*M59+T59*(N59+O59/60)</f>
        <v>231.25</v>
      </c>
      <c r="AF59" s="10">
        <f>H59+X59*M59+U59*(N59+O59/60)</f>
        <v>290</v>
      </c>
      <c r="AG59" s="10">
        <f>IF(AE59&gt;0,AB59/AE59,0)</f>
        <v>187.6756756756757</v>
      </c>
      <c r="AH59" s="10">
        <f>IF(W59&gt;0,(Q59-T59*E59)/W59,D59-E59)</f>
        <v>1920</v>
      </c>
      <c r="AI59" s="10">
        <f>IF(AH59&gt;0,(Hedef!$C$5+6*F59+G59)/AH59,0)</f>
        <v>97.39583333333333</v>
      </c>
      <c r="AJ59" s="10">
        <f>IF(AI59&gt;0,AI59/Z59,0)</f>
        <v>1217.447916666667</v>
      </c>
      <c r="AK59" s="10">
        <f>IF(AI59&gt;0,AI59/Y59,0)</f>
        <v>3246.527777777778</v>
      </c>
      <c r="AL59" s="10">
        <f>G59+F59*L59/30</f>
        <v>26500</v>
      </c>
      <c r="AM59" s="7" t="str">
        <f>IF(AB59&gt;=Hedef!$C$5,"evet","hayır")</f>
        <v>hayır</v>
      </c>
      <c r="AN59" s="7" t="str">
        <f>IF(AG59&gt;=Hedef!$C$8,"evet","hayır")</f>
        <v>hayır</v>
      </c>
      <c r="AO59" s="7" t="str">
        <f>IF(AE59&lt;=Hedef!$C$14,"evet","hayır")</f>
        <v>evet</v>
      </c>
      <c r="AP59" s="10">
        <f>AB59/Hedef!$C$4</f>
        <v>904.1666666666666</v>
      </c>
    </row>
    <row r="60">
      <c r="A60" s="7" t="str">
        <f>Secenekler!A60</f>
        <v>actionplan-b</v>
      </c>
      <c r="B60" s="7" t="str">
        <f>Secenekler!C60</f>
        <v>Teslim kabul kurulumu: sürümlü kapsam ve kanıt paketi</v>
      </c>
      <c r="C60" s="17" t="inlineStr">
        <is>
          <t>proje</t>
        </is>
      </c>
      <c r="D60" s="15" t="n">
        <v>19200</v>
      </c>
      <c r="E60" s="15" t="n">
        <v>500</v>
      </c>
      <c r="F60" s="15" t="n">
        <v>500</v>
      </c>
      <c r="G60" s="15" t="n">
        <v>3000</v>
      </c>
      <c r="H60" s="15" t="n">
        <v>25</v>
      </c>
      <c r="I60" s="15" t="n">
        <v>40</v>
      </c>
      <c r="J60" s="15" t="n">
        <v>70</v>
      </c>
      <c r="K60" s="15" t="n">
        <v>30</v>
      </c>
      <c r="L60" s="15" t="n">
        <v>100</v>
      </c>
      <c r="M60" s="15" t="n">
        <v>6</v>
      </c>
      <c r="N60" s="15" t="n">
        <v>20</v>
      </c>
      <c r="O60" s="15" t="n">
        <v>30</v>
      </c>
      <c r="P60" s="15" t="n">
        <v>0</v>
      </c>
      <c r="Q60" s="15" t="n">
        <v>19200</v>
      </c>
      <c r="R60" s="15" t="n">
        <v>57600</v>
      </c>
      <c r="S60" s="15" t="n">
        <v>0</v>
      </c>
      <c r="T60" s="15" t="n">
        <v>1</v>
      </c>
      <c r="U60" s="15" t="n">
        <v>3</v>
      </c>
      <c r="V60" s="15" t="n">
        <v>0</v>
      </c>
      <c r="W60" s="15" t="n">
        <v>1</v>
      </c>
      <c r="X60" s="15" t="n">
        <v>3</v>
      </c>
      <c r="Y60" s="21" t="n">
        <v>0.03</v>
      </c>
      <c r="Z60" s="21" t="n">
        <v>0.1</v>
      </c>
      <c r="AA60" s="10">
        <f>P60-S60*E60-6*F60-G60</f>
        <v>-6000</v>
      </c>
      <c r="AB60" s="10">
        <f>Q60-T60*E60-6*F60-G60</f>
        <v>12700</v>
      </c>
      <c r="AC60" s="10">
        <f>R60-U60*E60-6*F60-G60</f>
        <v>50100</v>
      </c>
      <c r="AD60" s="10">
        <f>J60+V60*M60+S60*(N60+O60/60)</f>
        <v>70</v>
      </c>
      <c r="AE60" s="10">
        <f>I60+W60*M60+T60*(N60+O60/60)</f>
        <v>66.5</v>
      </c>
      <c r="AF60" s="10">
        <f>H60+X60*M60+U60*(N60+O60/60)</f>
        <v>104.5</v>
      </c>
      <c r="AG60" s="10">
        <f>IF(AE60&gt;0,AB60/AE60,0)</f>
        <v>190.9774436090225</v>
      </c>
      <c r="AH60" s="10">
        <f>IF(W60&gt;0,(Q60-T60*E60)/W60,D60-E60)</f>
        <v>18700</v>
      </c>
      <c r="AI60" s="10">
        <f>IF(AH60&gt;0,(Hedef!$C$5+6*F60+G60)/AH60,0)</f>
        <v>8.02139037433155</v>
      </c>
      <c r="AJ60" s="10">
        <f>IF(AI60&gt;0,AI60/Z60,0)</f>
        <v>80.2139037433155</v>
      </c>
      <c r="AK60" s="10">
        <f>IF(AI60&gt;0,AI60/Y60,0)</f>
        <v>267.379679144385</v>
      </c>
      <c r="AL60" s="10">
        <f>G60+F60*L60/30</f>
        <v>4666.666666666667</v>
      </c>
      <c r="AM60" s="7" t="str">
        <f>IF(AB60&gt;=Hedef!$C$5,"evet","hayır")</f>
        <v>hayır</v>
      </c>
      <c r="AN60" s="7" t="str">
        <f>IF(AG60&gt;=Hedef!$C$8,"evet","hayır")</f>
        <v>hayır</v>
      </c>
      <c r="AO60" s="7" t="str">
        <f>IF(AE60&lt;=Hedef!$C$14,"evet","hayır")</f>
        <v>evet</v>
      </c>
      <c r="AP60" s="10">
        <f>AB60/Hedef!$C$4</f>
        <v>264.5833333333333</v>
      </c>
    </row>
    <row r="61">
      <c r="A61" s="7" t="str">
        <f>Secenekler!A61</f>
        <v>actionplan-c</v>
      </c>
      <c r="B61" s="7" t="str">
        <f>Secenekler!C61</f>
        <v>Türkçe ajan görev şablon paketi</v>
      </c>
      <c r="C61" s="17" t="inlineStr">
        <is>
          <t>tek seferlik</t>
        </is>
      </c>
      <c r="D61" s="15" t="n">
        <v>490</v>
      </c>
      <c r="E61" s="15" t="n">
        <v>16</v>
      </c>
      <c r="F61" s="15" t="n">
        <v>100</v>
      </c>
      <c r="G61" s="15" t="n">
        <v>8000</v>
      </c>
      <c r="H61" s="15" t="n">
        <v>20</v>
      </c>
      <c r="I61" s="15" t="n">
        <v>32</v>
      </c>
      <c r="J61" s="15" t="n">
        <v>50</v>
      </c>
      <c r="K61" s="15" t="n">
        <v>14</v>
      </c>
      <c r="L61" s="15" t="n">
        <v>45</v>
      </c>
      <c r="M61" s="15" t="n">
        <v>0.1</v>
      </c>
      <c r="N61" s="15" t="n">
        <v>0</v>
      </c>
      <c r="O61" s="15" t="n">
        <v>3</v>
      </c>
      <c r="P61" s="15" t="n">
        <v>1470</v>
      </c>
      <c r="Q61" s="15" t="n">
        <v>5880</v>
      </c>
      <c r="R61" s="15" t="n">
        <v>22050</v>
      </c>
      <c r="S61" s="15" t="n">
        <v>3</v>
      </c>
      <c r="T61" s="15" t="n">
        <v>12</v>
      </c>
      <c r="U61" s="15" t="n">
        <v>45</v>
      </c>
      <c r="V61" s="15" t="n">
        <v>3</v>
      </c>
      <c r="W61" s="15" t="n">
        <v>12</v>
      </c>
      <c r="X61" s="15" t="n">
        <v>45</v>
      </c>
      <c r="Y61" s="21" t="n">
        <v>0.003</v>
      </c>
      <c r="Z61" s="21" t="n">
        <v>0.01</v>
      </c>
      <c r="AA61" s="10">
        <f>P61-S61*E61-6*F61-G61</f>
        <v>-7178</v>
      </c>
      <c r="AB61" s="10">
        <f>Q61-T61*E61-6*F61-G61</f>
        <v>-2912</v>
      </c>
      <c r="AC61" s="10">
        <f>R61-U61*E61-6*F61-G61</f>
        <v>12730</v>
      </c>
      <c r="AD61" s="10">
        <f>J61+V61*M61+S61*(N61+O61/60)</f>
        <v>50.45</v>
      </c>
      <c r="AE61" s="10">
        <f>I61+W61*M61+T61*(N61+O61/60)</f>
        <v>33.8</v>
      </c>
      <c r="AF61" s="10">
        <f>H61+X61*M61+U61*(N61+O61/60)</f>
        <v>26.75</v>
      </c>
      <c r="AG61" s="10">
        <f>IF(AE61&gt;0,AB61/AE61,0)</f>
        <v>-86.15384615384615</v>
      </c>
      <c r="AH61" s="10">
        <f>IF(W61&gt;0,(Q61-T61*E61)/W61,D61-E61)</f>
        <v>474</v>
      </c>
      <c r="AI61" s="10">
        <f>IF(AH61&gt;0,(Hedef!$C$5+6*F61+G61)/AH61,0)</f>
        <v>321.9409282700422</v>
      </c>
      <c r="AJ61" s="10">
        <f>IF(AI61&gt;0,AI61/Z61,0)</f>
        <v>32194.09282700422</v>
      </c>
      <c r="AK61" s="10">
        <f>IF(AI61&gt;0,AI61/Y61,0)</f>
        <v>107313.6427566807</v>
      </c>
      <c r="AL61" s="10">
        <f>G61+F61*L61/30</f>
        <v>8150</v>
      </c>
      <c r="AM61" s="7" t="str">
        <f>IF(AB61&gt;=Hedef!$C$5,"evet","hayır")</f>
        <v>hayır</v>
      </c>
      <c r="AN61" s="7" t="str">
        <f>IF(AG61&gt;=Hedef!$C$8,"evet","hayır")</f>
        <v>hayır</v>
      </c>
      <c r="AO61" s="7" t="str">
        <f>IF(AE61&lt;=Hedef!$C$14,"evet","hayır")</f>
        <v>evet</v>
      </c>
      <c r="AP61" s="10">
        <f>AB61/Hedef!$C$4</f>
        <v>-60.66666666666666</v>
      </c>
    </row>
    <row r="62">
      <c r="A62" s="7" t="str">
        <f>Secenekler!A62</f>
        <v>ajan-gozlem-paneli-a</v>
      </c>
      <c r="B62" s="7" t="str">
        <f>Secenekler!C62</f>
        <v>Koruyucu Pro içinde Gözlem Paneli (tek seferlik lisans)</v>
      </c>
      <c r="C62" s="17" t="inlineStr">
        <is>
          <t>tek seferlik</t>
        </is>
      </c>
      <c r="D62" s="15" t="n">
        <v>720</v>
      </c>
      <c r="E62" s="15" t="n">
        <v>60</v>
      </c>
      <c r="F62" s="15" t="n">
        <v>450</v>
      </c>
      <c r="G62" s="15" t="n">
        <v>5500</v>
      </c>
      <c r="H62" s="15" t="n">
        <v>45</v>
      </c>
      <c r="I62" s="15" t="n">
        <v>60</v>
      </c>
      <c r="J62" s="15" t="n">
        <v>100</v>
      </c>
      <c r="K62" s="15" t="n">
        <v>60</v>
      </c>
      <c r="L62" s="15" t="n">
        <v>120</v>
      </c>
      <c r="M62" s="15" t="n">
        <v>0.5</v>
      </c>
      <c r="N62" s="15" t="n">
        <v>0</v>
      </c>
      <c r="O62" s="15" t="n">
        <v>10</v>
      </c>
      <c r="P62" s="15" t="n">
        <v>0</v>
      </c>
      <c r="Q62" s="15" t="n">
        <v>4320</v>
      </c>
      <c r="R62" s="15" t="n">
        <v>8640</v>
      </c>
      <c r="S62" s="15" t="n">
        <v>0</v>
      </c>
      <c r="T62" s="15" t="n">
        <v>6</v>
      </c>
      <c r="U62" s="15" t="n">
        <v>12</v>
      </c>
      <c r="V62" s="15" t="n">
        <v>0</v>
      </c>
      <c r="W62" s="15" t="n">
        <v>6</v>
      </c>
      <c r="X62" s="15" t="n">
        <v>12</v>
      </c>
      <c r="Y62" s="21" t="n">
        <v>0.01</v>
      </c>
      <c r="Z62" s="21" t="n">
        <v>0.03</v>
      </c>
      <c r="AA62" s="10">
        <f>P62-S62*E62-6*F62-G62</f>
        <v>-8200</v>
      </c>
      <c r="AB62" s="10">
        <f>Q62-T62*E62-6*F62-G62</f>
        <v>-4240</v>
      </c>
      <c r="AC62" s="10">
        <f>R62-U62*E62-6*F62-G62</f>
        <v>-280</v>
      </c>
      <c r="AD62" s="10">
        <f>J62+V62*M62+S62*(N62+O62/60)</f>
        <v>100</v>
      </c>
      <c r="AE62" s="10">
        <f>I62+W62*M62+T62*(N62+O62/60)</f>
        <v>64</v>
      </c>
      <c r="AF62" s="10">
        <f>H62+X62*M62+U62*(N62+O62/60)</f>
        <v>53</v>
      </c>
      <c r="AG62" s="10">
        <f>IF(AE62&gt;0,AB62/AE62,0)</f>
        <v>-66.25</v>
      </c>
      <c r="AH62" s="10">
        <f>IF(W62&gt;0,(Q62-T62*E62)/W62,D62-E62)</f>
        <v>660</v>
      </c>
      <c r="AI62" s="10">
        <f>IF(AH62&gt;0,(Hedef!$C$5+6*F62+G62)/AH62,0)</f>
        <v>230.6060606060606</v>
      </c>
      <c r="AJ62" s="10">
        <f>IF(AI62&gt;0,AI62/Z62,0)</f>
        <v>7686.868686868686</v>
      </c>
      <c r="AK62" s="10">
        <f>IF(AI62&gt;0,AI62/Y62,0)</f>
        <v>23060.60606060606</v>
      </c>
      <c r="AL62" s="10">
        <f>G62+F62*L62/30</f>
        <v>7300</v>
      </c>
      <c r="AM62" s="7" t="str">
        <f>IF(AB62&gt;=Hedef!$C$5,"evet","hayır")</f>
        <v>hayır</v>
      </c>
      <c r="AN62" s="7" t="str">
        <f>IF(AG62&gt;=Hedef!$C$8,"evet","hayır")</f>
        <v>hayır</v>
      </c>
      <c r="AO62" s="7" t="str">
        <f>IF(AE62&lt;=Hedef!$C$14,"evet","hayır")</f>
        <v>evet</v>
      </c>
      <c r="AP62" s="10">
        <f>AB62/Hedef!$C$4</f>
        <v>-88.33333333333333</v>
      </c>
    </row>
    <row r="63">
      <c r="A63" s="7" t="str">
        <f>Secenekler!A63</f>
        <v>ajan-gozlem-paneli-b</v>
      </c>
      <c r="B63" s="7" t="str">
        <f>Secenekler!C63</f>
        <v>Ajanslar için aylık proje bazlı yapay zekâ maliyet raporu</v>
      </c>
      <c r="C63" s="17" t="inlineStr">
        <is>
          <t>aylık abonelik</t>
        </is>
      </c>
      <c r="D63" s="15" t="n">
        <v>1500</v>
      </c>
      <c r="E63" s="15" t="n">
        <v>0</v>
      </c>
      <c r="F63" s="15" t="n">
        <v>450</v>
      </c>
      <c r="G63" s="15" t="n">
        <v>1500</v>
      </c>
      <c r="H63" s="15" t="n">
        <v>32</v>
      </c>
      <c r="I63" s="15" t="n">
        <v>44</v>
      </c>
      <c r="J63" s="15" t="n">
        <v>70</v>
      </c>
      <c r="K63" s="15" t="n">
        <v>75</v>
      </c>
      <c r="L63" s="15" t="n">
        <v>120</v>
      </c>
      <c r="M63" s="15" t="n">
        <v>8</v>
      </c>
      <c r="N63" s="15" t="n">
        <v>3</v>
      </c>
      <c r="O63" s="15" t="n">
        <v>30</v>
      </c>
      <c r="P63" s="15" t="n">
        <v>0</v>
      </c>
      <c r="Q63" s="15" t="n">
        <v>3000</v>
      </c>
      <c r="R63" s="15" t="n">
        <v>12000</v>
      </c>
      <c r="S63" s="15" t="n">
        <v>0</v>
      </c>
      <c r="T63" s="15" t="n">
        <v>2</v>
      </c>
      <c r="U63" s="15" t="n">
        <v>8</v>
      </c>
      <c r="V63" s="15" t="n">
        <v>0</v>
      </c>
      <c r="W63" s="15" t="n">
        <v>1</v>
      </c>
      <c r="X63" s="15" t="n">
        <v>3</v>
      </c>
      <c r="Y63" s="21" t="n">
        <v>0.02</v>
      </c>
      <c r="Z63" s="21" t="n">
        <v>0.08</v>
      </c>
      <c r="AA63" s="10">
        <f>P63-S63*E63-6*F63-G63</f>
        <v>-4200</v>
      </c>
      <c r="AB63" s="10">
        <f>Q63-T63*E63-6*F63-G63</f>
        <v>-1200</v>
      </c>
      <c r="AC63" s="10">
        <f>R63-U63*E63-6*F63-G63</f>
        <v>7800</v>
      </c>
      <c r="AD63" s="10">
        <f>J63+V63*M63+S63*(N63+O63/60)</f>
        <v>70</v>
      </c>
      <c r="AE63" s="10">
        <f>I63+W63*M63+T63*(N63+O63/60)</f>
        <v>59</v>
      </c>
      <c r="AF63" s="10">
        <f>H63+X63*M63+U63*(N63+O63/60)</f>
        <v>84</v>
      </c>
      <c r="AG63" s="10">
        <f>IF(AE63&gt;0,AB63/AE63,0)</f>
        <v>-20.33898305084746</v>
      </c>
      <c r="AH63" s="10">
        <f>IF(W63&gt;0,(Q63-T63*E63)/W63,D63-E63)</f>
        <v>3000</v>
      </c>
      <c r="AI63" s="10">
        <f>IF(AH63&gt;0,(Hedef!$C$5+6*F63+G63)/AH63,0)</f>
        <v>49.4</v>
      </c>
      <c r="AJ63" s="10">
        <f>IF(AI63&gt;0,AI63/Z63,0)</f>
        <v>617.5</v>
      </c>
      <c r="AK63" s="10">
        <f>IF(AI63&gt;0,AI63/Y63,0)</f>
        <v>2470</v>
      </c>
      <c r="AL63" s="10">
        <f>G63+F63*L63/30</f>
        <v>3300</v>
      </c>
      <c r="AM63" s="7" t="str">
        <f>IF(AB63&gt;=Hedef!$C$5,"evet","hayır")</f>
        <v>hayır</v>
      </c>
      <c r="AN63" s="7" t="str">
        <f>IF(AG63&gt;=Hedef!$C$8,"evet","hayır")</f>
        <v>hayır</v>
      </c>
      <c r="AO63" s="7" t="str">
        <f>IF(AE63&lt;=Hedef!$C$14,"evet","hayır")</f>
        <v>evet</v>
      </c>
      <c r="AP63" s="10">
        <f>AB63/Hedef!$C$4</f>
        <v>-25</v>
      </c>
    </row>
    <row r="64">
      <c r="A64" s="7" t="str">
        <f>Secenekler!A64</f>
        <v>ajan-gozlem-paneli-c</v>
      </c>
      <c r="B64" s="7" t="str">
        <f>Secenekler!C64</f>
        <v>Yapay zekâ iş izleme kartı kurulum paketi</v>
      </c>
      <c r="C64" s="17" t="inlineStr">
        <is>
          <t>proje</t>
        </is>
      </c>
      <c r="D64" s="15" t="n">
        <v>18000</v>
      </c>
      <c r="E64" s="15" t="n">
        <v>0</v>
      </c>
      <c r="F64" s="15" t="n">
        <v>0</v>
      </c>
      <c r="G64" s="15" t="n">
        <v>500</v>
      </c>
      <c r="H64" s="15" t="n">
        <v>25</v>
      </c>
      <c r="I64" s="15" t="n">
        <v>35</v>
      </c>
      <c r="J64" s="15" t="n">
        <v>60</v>
      </c>
      <c r="K64" s="15" t="n">
        <v>45</v>
      </c>
      <c r="L64" s="15" t="n">
        <v>150</v>
      </c>
      <c r="M64" s="15" t="n">
        <v>10</v>
      </c>
      <c r="N64" s="15" t="n">
        <v>24</v>
      </c>
      <c r="O64" s="15" t="n">
        <v>30</v>
      </c>
      <c r="P64" s="15" t="n">
        <v>0</v>
      </c>
      <c r="Q64" s="15" t="n">
        <v>0</v>
      </c>
      <c r="R64" s="15" t="n">
        <v>18000</v>
      </c>
      <c r="S64" s="15" t="n">
        <v>0</v>
      </c>
      <c r="T64" s="15" t="n">
        <v>0</v>
      </c>
      <c r="U64" s="15" t="n">
        <v>1</v>
      </c>
      <c r="V64" s="15" t="n">
        <v>0</v>
      </c>
      <c r="W64" s="15" t="n">
        <v>0</v>
      </c>
      <c r="X64" s="15" t="n">
        <v>1</v>
      </c>
      <c r="Y64" s="21" t="n">
        <v>0.01</v>
      </c>
      <c r="Z64" s="21" t="n">
        <v>0.05</v>
      </c>
      <c r="AA64" s="10">
        <f>P64-S64*E64-6*F64-G64</f>
        <v>-500</v>
      </c>
      <c r="AB64" s="10">
        <f>Q64-T64*E64-6*F64-G64</f>
        <v>-500</v>
      </c>
      <c r="AC64" s="10">
        <f>R64-U64*E64-6*F64-G64</f>
        <v>17500</v>
      </c>
      <c r="AD64" s="10">
        <f>J64+V64*M64+S64*(N64+O64/60)</f>
        <v>60</v>
      </c>
      <c r="AE64" s="10">
        <f>I64+W64*M64+T64*(N64+O64/60)</f>
        <v>35</v>
      </c>
      <c r="AF64" s="10">
        <f>H64+X64*M64+U64*(N64+O64/60)</f>
        <v>59.5</v>
      </c>
      <c r="AG64" s="10">
        <f>IF(AE64&gt;0,AB64/AE64,0)</f>
        <v>-14.28571428571429</v>
      </c>
      <c r="AH64" s="10">
        <f>IF(W64&gt;0,(Q64-T64*E64)/W64,D64-E64)</f>
        <v>18000</v>
      </c>
      <c r="AI64" s="10">
        <f>IF(AH64&gt;0,(Hedef!$C$5+6*F64+G64)/AH64,0)</f>
        <v>8.027777777777779</v>
      </c>
      <c r="AJ64" s="10">
        <f>IF(AI64&gt;0,AI64/Z64,0)</f>
        <v>160.5555555555556</v>
      </c>
      <c r="AK64" s="10">
        <f>IF(AI64&gt;0,AI64/Y64,0)</f>
        <v>802.7777777777778</v>
      </c>
      <c r="AL64" s="10">
        <f>G64+F64*L64/30</f>
        <v>500</v>
      </c>
      <c r="AM64" s="7" t="str">
        <f>IF(AB64&gt;=Hedef!$C$5,"evet","hayır")</f>
        <v>hayır</v>
      </c>
      <c r="AN64" s="7" t="str">
        <f>IF(AG64&gt;=Hedef!$C$8,"evet","hayır")</f>
        <v>hayır</v>
      </c>
      <c r="AO64" s="7" t="str">
        <f>IF(AE64&lt;=Hedef!$C$14,"evet","hayır")</f>
        <v>evet</v>
      </c>
      <c r="AP64" s="10">
        <f>AB64/Hedef!$C$4</f>
        <v>-10.41666666666667</v>
      </c>
    </row>
    <row r="65">
      <c r="A65" s="7" t="str">
        <f>Secenekler!A65</f>
        <v>ai-first-tasarim-a</v>
      </c>
      <c r="B65" s="7" t="str">
        <f>Secenekler!C65</f>
        <v>Türkçe yapay zekâ öncelikli tasarım sistemi rehberi (e-kitap)</v>
      </c>
      <c r="C65" s="17" t="inlineStr">
        <is>
          <t>tek seferlik</t>
        </is>
      </c>
      <c r="D65" s="15" t="n">
        <v>332.5</v>
      </c>
      <c r="E65" s="15" t="n">
        <v>14</v>
      </c>
      <c r="F65" s="15" t="n">
        <v>1700</v>
      </c>
      <c r="G65" s="15" t="n">
        <v>15000</v>
      </c>
      <c r="H65" s="15" t="n">
        <v>70</v>
      </c>
      <c r="I65" s="15" t="n">
        <v>110</v>
      </c>
      <c r="J65" s="15" t="n">
        <v>160</v>
      </c>
      <c r="K65" s="15" t="n">
        <v>55</v>
      </c>
      <c r="L65" s="15" t="n">
        <v>100</v>
      </c>
      <c r="M65" s="15" t="n">
        <v>0.1</v>
      </c>
      <c r="N65" s="15" t="n">
        <v>0</v>
      </c>
      <c r="O65" s="15" t="n">
        <v>10</v>
      </c>
      <c r="P65" s="15" t="n">
        <v>2660</v>
      </c>
      <c r="Q65" s="15" t="n">
        <v>14963</v>
      </c>
      <c r="R65" s="15" t="n">
        <v>33250</v>
      </c>
      <c r="S65" s="15" t="n">
        <v>8</v>
      </c>
      <c r="T65" s="15" t="n">
        <v>45</v>
      </c>
      <c r="U65" s="15" t="n">
        <v>100</v>
      </c>
      <c r="V65" s="15" t="n">
        <v>8</v>
      </c>
      <c r="W65" s="15" t="n">
        <v>45</v>
      </c>
      <c r="X65" s="15" t="n">
        <v>100</v>
      </c>
      <c r="Y65" s="21" t="n">
        <v>0.005</v>
      </c>
      <c r="Z65" s="21" t="n">
        <v>0.04</v>
      </c>
      <c r="AA65" s="10">
        <f>P65-S65*E65-6*F65-G65</f>
        <v>-22652</v>
      </c>
      <c r="AB65" s="10">
        <f>Q65-T65*E65-6*F65-G65</f>
        <v>-10867</v>
      </c>
      <c r="AC65" s="10">
        <f>R65-U65*E65-6*F65-G65</f>
        <v>6650</v>
      </c>
      <c r="AD65" s="10">
        <f>J65+V65*M65+S65*(N65+O65/60)</f>
        <v>162.1333333333334</v>
      </c>
      <c r="AE65" s="10">
        <f>I65+W65*M65+T65*(N65+O65/60)</f>
        <v>122</v>
      </c>
      <c r="AF65" s="10">
        <f>H65+X65*M65+U65*(N65+O65/60)</f>
        <v>96.66666666666666</v>
      </c>
      <c r="AG65" s="10">
        <f>IF(AE65&gt;0,AB65/AE65,0)</f>
        <v>-89.07377049180327</v>
      </c>
      <c r="AH65" s="10">
        <f>IF(W65&gt;0,(Q65-T65*E65)/W65,D65-E65)</f>
        <v>318.5111111111111</v>
      </c>
      <c r="AI65" s="10">
        <f>IF(AH65&gt;0,(Hedef!$C$5+6*F65+G65)/AH65,0)</f>
        <v>531.2216563175888</v>
      </c>
      <c r="AJ65" s="10">
        <f>IF(AI65&gt;0,AI65/Z65,0)</f>
        <v>13280.54140793972</v>
      </c>
      <c r="AK65" s="10">
        <f>IF(AI65&gt;0,AI65/Y65,0)</f>
        <v>106244.3312635178</v>
      </c>
      <c r="AL65" s="10">
        <f>G65+F65*L65/30</f>
        <v>20666.66666666667</v>
      </c>
      <c r="AM65" s="7" t="str">
        <f>IF(AB65&gt;=Hedef!$C$5,"evet","hayır")</f>
        <v>hayır</v>
      </c>
      <c r="AN65" s="7" t="str">
        <f>IF(AG65&gt;=Hedef!$C$8,"evet","hayır")</f>
        <v>hayır</v>
      </c>
      <c r="AO65" s="7" t="str">
        <f>IF(AE65&lt;=Hedef!$C$14,"evet","hayır")</f>
        <v>evet</v>
      </c>
      <c r="AP65" s="10">
        <f>AB65/Hedef!$C$4</f>
        <v>-226.3958333333333</v>
      </c>
    </row>
    <row r="66">
      <c r="A66" s="7" t="str">
        <f>Secenekler!A66</f>
        <v>ai-first-tasarim-b</v>
      </c>
      <c r="B66" s="7" t="str">
        <f>Secenekler!C66</f>
        <v>Ekip atölyesi ve 2 haftalık tasarım sistemi kurulumu</v>
      </c>
      <c r="C66" s="17" t="inlineStr">
        <is>
          <t>proje</t>
        </is>
      </c>
      <c r="D66" s="15" t="n">
        <v>25000</v>
      </c>
      <c r="E66" s="15" t="n">
        <v>5000</v>
      </c>
      <c r="F66" s="15" t="n">
        <v>1000</v>
      </c>
      <c r="G66" s="15" t="n">
        <v>8000</v>
      </c>
      <c r="H66" s="15" t="n">
        <v>60</v>
      </c>
      <c r="I66" s="15" t="n">
        <v>90</v>
      </c>
      <c r="J66" s="15" t="n">
        <v>140</v>
      </c>
      <c r="K66" s="15" t="n">
        <v>75</v>
      </c>
      <c r="L66" s="15" t="n">
        <v>180</v>
      </c>
      <c r="M66" s="15" t="n">
        <v>8</v>
      </c>
      <c r="N66" s="15" t="n">
        <v>16</v>
      </c>
      <c r="O66" s="15" t="n">
        <v>60</v>
      </c>
      <c r="P66" s="15" t="n">
        <v>0</v>
      </c>
      <c r="Q66" s="15" t="n">
        <v>0</v>
      </c>
      <c r="R66" s="15" t="n">
        <v>25000</v>
      </c>
      <c r="S66" s="15" t="n">
        <v>0</v>
      </c>
      <c r="T66" s="15" t="n">
        <v>0</v>
      </c>
      <c r="U66" s="15" t="n">
        <v>1</v>
      </c>
      <c r="V66" s="15" t="n">
        <v>0</v>
      </c>
      <c r="W66" s="15" t="n">
        <v>0</v>
      </c>
      <c r="X66" s="15" t="n">
        <v>1</v>
      </c>
      <c r="Y66" s="21" t="n">
        <v>0.05</v>
      </c>
      <c r="Z66" s="21" t="n">
        <v>0.2</v>
      </c>
      <c r="AA66" s="10">
        <f>P66-S66*E66-6*F66-G66</f>
        <v>-14000</v>
      </c>
      <c r="AB66" s="10">
        <f>Q66-T66*E66-6*F66-G66</f>
        <v>-14000</v>
      </c>
      <c r="AC66" s="10">
        <f>R66-U66*E66-6*F66-G66</f>
        <v>6000</v>
      </c>
      <c r="AD66" s="10">
        <f>J66+V66*M66+S66*(N66+O66/60)</f>
        <v>140</v>
      </c>
      <c r="AE66" s="10">
        <f>I66+W66*M66+T66*(N66+O66/60)</f>
        <v>90</v>
      </c>
      <c r="AF66" s="10">
        <f>H66+X66*M66+U66*(N66+O66/60)</f>
        <v>85</v>
      </c>
      <c r="AG66" s="10">
        <f>IF(AE66&gt;0,AB66/AE66,0)</f>
        <v>-155.5555555555555</v>
      </c>
      <c r="AH66" s="10">
        <f>IF(W66&gt;0,(Q66-T66*E66)/W66,D66-E66)</f>
        <v>20000</v>
      </c>
      <c r="AI66" s="10">
        <f>IF(AH66&gt;0,(Hedef!$C$5+6*F66+G66)/AH66,0)</f>
        <v>7.9</v>
      </c>
      <c r="AJ66" s="10">
        <f>IF(AI66&gt;0,AI66/Z66,0)</f>
        <v>39.5</v>
      </c>
      <c r="AK66" s="10">
        <f>IF(AI66&gt;0,AI66/Y66,0)</f>
        <v>158</v>
      </c>
      <c r="AL66" s="10">
        <f>G66+F66*L66/30</f>
        <v>14000</v>
      </c>
      <c r="AM66" s="7" t="str">
        <f>IF(AB66&gt;=Hedef!$C$5,"evet","hayır")</f>
        <v>hayır</v>
      </c>
      <c r="AN66" s="7" t="str">
        <f>IF(AG66&gt;=Hedef!$C$8,"evet","hayır")</f>
        <v>hayır</v>
      </c>
      <c r="AO66" s="7" t="str">
        <f>IF(AE66&lt;=Hedef!$C$14,"evet","hayır")</f>
        <v>evet</v>
      </c>
      <c r="AP66" s="10">
        <f>AB66/Hedef!$C$4</f>
        <v>-291.6666666666667</v>
      </c>
    </row>
    <row r="67">
      <c r="A67" s="7" t="str">
        <f>Secenekler!A67</f>
        <v>ai-first-tasarim-c</v>
      </c>
      <c r="B67" s="7" t="str">
        <f>Secenekler!C67</f>
        <v>Ajansa sabit fiyatlı form ve tablo kabul dosyası paketi</v>
      </c>
      <c r="C67" s="17" t="inlineStr">
        <is>
          <t>proje</t>
        </is>
      </c>
      <c r="D67" s="15" t="n">
        <v>18000</v>
      </c>
      <c r="E67" s="15" t="n">
        <v>1000</v>
      </c>
      <c r="F67" s="15" t="n">
        <v>500</v>
      </c>
      <c r="G67" s="15" t="n">
        <v>3000</v>
      </c>
      <c r="H67" s="15" t="n">
        <v>30</v>
      </c>
      <c r="I67" s="15" t="n">
        <v>50</v>
      </c>
      <c r="J67" s="15" t="n">
        <v>90</v>
      </c>
      <c r="K67" s="15" t="n">
        <v>45</v>
      </c>
      <c r="L67" s="15" t="n">
        <v>120</v>
      </c>
      <c r="M67" s="15" t="n">
        <v>6</v>
      </c>
      <c r="N67" s="15" t="n">
        <v>16</v>
      </c>
      <c r="O67" s="15" t="n">
        <v>30</v>
      </c>
      <c r="P67" s="15" t="n">
        <v>0</v>
      </c>
      <c r="Q67" s="15" t="n">
        <v>18000</v>
      </c>
      <c r="R67" s="15" t="n">
        <v>72000</v>
      </c>
      <c r="S67" s="15" t="n">
        <v>0</v>
      </c>
      <c r="T67" s="15" t="n">
        <v>1</v>
      </c>
      <c r="U67" s="15" t="n">
        <v>4</v>
      </c>
      <c r="V67" s="15" t="n">
        <v>0</v>
      </c>
      <c r="W67" s="15" t="n">
        <v>1</v>
      </c>
      <c r="X67" s="15" t="n">
        <v>4</v>
      </c>
      <c r="Y67" s="21" t="n">
        <v>0.03</v>
      </c>
      <c r="Z67" s="21" t="n">
        <v>0.15</v>
      </c>
      <c r="AA67" s="10">
        <f>P67-S67*E67-6*F67-G67</f>
        <v>-6000</v>
      </c>
      <c r="AB67" s="10">
        <f>Q67-T67*E67-6*F67-G67</f>
        <v>11000</v>
      </c>
      <c r="AC67" s="10">
        <f>R67-U67*E67-6*F67-G67</f>
        <v>62000</v>
      </c>
      <c r="AD67" s="10">
        <f>J67+V67*M67+S67*(N67+O67/60)</f>
        <v>90</v>
      </c>
      <c r="AE67" s="10">
        <f>I67+W67*M67+T67*(N67+O67/60)</f>
        <v>72.5</v>
      </c>
      <c r="AF67" s="10">
        <f>H67+X67*M67+U67*(N67+O67/60)</f>
        <v>120</v>
      </c>
      <c r="AG67" s="10">
        <f>IF(AE67&gt;0,AB67/AE67,0)</f>
        <v>151.7241379310345</v>
      </c>
      <c r="AH67" s="10">
        <f>IF(W67&gt;0,(Q67-T67*E67)/W67,D67-E67)</f>
        <v>17000</v>
      </c>
      <c r="AI67" s="10">
        <f>IF(AH67&gt;0,(Hedef!$C$5+6*F67+G67)/AH67,0)</f>
        <v>8.823529411764707</v>
      </c>
      <c r="AJ67" s="10">
        <f>IF(AI67&gt;0,AI67/Z67,0)</f>
        <v>58.82352941176471</v>
      </c>
      <c r="AK67" s="10">
        <f>IF(AI67&gt;0,AI67/Y67,0)</f>
        <v>294.1176470588235</v>
      </c>
      <c r="AL67" s="10">
        <f>G67+F67*L67/30</f>
        <v>5000</v>
      </c>
      <c r="AM67" s="7" t="str">
        <f>IF(AB67&gt;=Hedef!$C$5,"evet","hayır")</f>
        <v>hayır</v>
      </c>
      <c r="AN67" s="7" t="str">
        <f>IF(AG67&gt;=Hedef!$C$8,"evet","hayır")</f>
        <v>hayır</v>
      </c>
      <c r="AO67" s="7" t="str">
        <f>IF(AE67&lt;=Hedef!$C$14,"evet","hayır")</f>
        <v>evet</v>
      </c>
      <c r="AP67" s="10">
        <f>AB67/Hedef!$C$4</f>
        <v>229.1666666666667</v>
      </c>
    </row>
    <row r="68">
      <c r="A68" s="7" t="str">
        <f>Secenekler!A68</f>
        <v>aicommandcard-a</v>
      </c>
      <c r="B68" s="7" t="str">
        <f>Secenekler!C68</f>
        <v>QR menü ürününde AI asistan (₺999 plan katmanı)</v>
      </c>
      <c r="C68" s="17" t="inlineStr">
        <is>
          <t>aylık abonelik</t>
        </is>
      </c>
      <c r="D68" s="15" t="n">
        <v>500</v>
      </c>
      <c r="E68" s="15" t="n">
        <v>82</v>
      </c>
      <c r="F68" s="15" t="n">
        <v>300</v>
      </c>
      <c r="G68" s="15" t="n">
        <v>11000</v>
      </c>
      <c r="H68" s="15" t="n">
        <v>80</v>
      </c>
      <c r="I68" s="15" t="n">
        <v>120</v>
      </c>
      <c r="J68" s="15" t="n">
        <v>208</v>
      </c>
      <c r="K68" s="15" t="n">
        <v>105</v>
      </c>
      <c r="L68" s="15" t="n">
        <v>210</v>
      </c>
      <c r="M68" s="15" t="n">
        <v>2</v>
      </c>
      <c r="N68" s="15" t="n">
        <v>0</v>
      </c>
      <c r="O68" s="15" t="n">
        <v>30</v>
      </c>
      <c r="P68" s="15" t="n">
        <v>0</v>
      </c>
      <c r="Q68" s="15" t="n">
        <v>0</v>
      </c>
      <c r="R68" s="15" t="n">
        <v>2500</v>
      </c>
      <c r="S68" s="15" t="n">
        <v>0</v>
      </c>
      <c r="T68" s="15" t="n">
        <v>0</v>
      </c>
      <c r="U68" s="15" t="n">
        <v>5</v>
      </c>
      <c r="V68" s="15" t="n">
        <v>0</v>
      </c>
      <c r="W68" s="15" t="n">
        <v>0</v>
      </c>
      <c r="X68" s="15" t="n">
        <v>2</v>
      </c>
      <c r="Y68" s="21" t="n">
        <v>0.05</v>
      </c>
      <c r="Z68" s="21" t="n">
        <v>0.2</v>
      </c>
      <c r="AA68" s="10">
        <f>P68-S68*E68-6*F68-G68</f>
        <v>-12800</v>
      </c>
      <c r="AB68" s="10">
        <f>Q68-T68*E68-6*F68-G68</f>
        <v>-12800</v>
      </c>
      <c r="AC68" s="10">
        <f>R68-U68*E68-6*F68-G68</f>
        <v>-10710</v>
      </c>
      <c r="AD68" s="10">
        <f>J68+V68*M68+S68*(N68+O68/60)</f>
        <v>208</v>
      </c>
      <c r="AE68" s="10">
        <f>I68+W68*M68+T68*(N68+O68/60)</f>
        <v>120</v>
      </c>
      <c r="AF68" s="10">
        <f>H68+X68*M68+U68*(N68+O68/60)</f>
        <v>86.5</v>
      </c>
      <c r="AG68" s="10">
        <f>IF(AE68&gt;0,AB68/AE68,0)</f>
        <v>-106.6666666666667</v>
      </c>
      <c r="AH68" s="10">
        <f>IF(W68&gt;0,(Q68-T68*E68)/W68,D68-E68)</f>
        <v>418</v>
      </c>
      <c r="AI68" s="10">
        <f>IF(AH68&gt;0,(Hedef!$C$5+6*F68+G68)/AH68,0)</f>
        <v>375.1196172248804</v>
      </c>
      <c r="AJ68" s="10">
        <f>IF(AI68&gt;0,AI68/Z68,0)</f>
        <v>1875.598086124402</v>
      </c>
      <c r="AK68" s="10">
        <f>IF(AI68&gt;0,AI68/Y68,0)</f>
        <v>7502.392344497607</v>
      </c>
      <c r="AL68" s="10">
        <f>G68+F68*L68/30</f>
        <v>13100</v>
      </c>
      <c r="AM68" s="7" t="str">
        <f>IF(AB68&gt;=Hedef!$C$5,"evet","hayır")</f>
        <v>hayır</v>
      </c>
      <c r="AN68" s="7" t="str">
        <f>IF(AG68&gt;=Hedef!$C$8,"evet","hayır")</f>
        <v>hayır</v>
      </c>
      <c r="AO68" s="7" t="str">
        <f>IF(AE68&lt;=Hedef!$C$14,"evet","hayır")</f>
        <v>evet</v>
      </c>
      <c r="AP68" s="10">
        <f>AB68/Hedef!$C$4</f>
        <v>-266.6666666666667</v>
      </c>
    </row>
    <row r="69">
      <c r="A69" s="7" t="str">
        <f>Secenekler!A69</f>
        <v>aicommandcard-b</v>
      </c>
      <c r="B69" s="7" t="str">
        <f>Secenekler!C69</f>
        <v>Sabit kapsamlı AiCommandCard entegrasyon paketi</v>
      </c>
      <c r="C69" s="17" t="inlineStr">
        <is>
          <t>proje</t>
        </is>
      </c>
      <c r="D69" s="15" t="n">
        <v>12000</v>
      </c>
      <c r="E69" s="15" t="n">
        <v>250</v>
      </c>
      <c r="F69" s="15" t="n">
        <v>100</v>
      </c>
      <c r="G69" s="15" t="n">
        <v>1500</v>
      </c>
      <c r="H69" s="15" t="n">
        <v>30</v>
      </c>
      <c r="I69" s="15" t="n">
        <v>48</v>
      </c>
      <c r="J69" s="15" t="n">
        <v>70</v>
      </c>
      <c r="K69" s="15" t="n">
        <v>35</v>
      </c>
      <c r="L69" s="15" t="n">
        <v>120</v>
      </c>
      <c r="M69" s="15" t="n">
        <v>5</v>
      </c>
      <c r="N69" s="15" t="n">
        <v>40</v>
      </c>
      <c r="O69" s="15" t="n">
        <v>20</v>
      </c>
      <c r="P69" s="15" t="n">
        <v>0</v>
      </c>
      <c r="Q69" s="15" t="n">
        <v>0</v>
      </c>
      <c r="R69" s="15" t="n">
        <v>24000</v>
      </c>
      <c r="S69" s="15" t="n">
        <v>0</v>
      </c>
      <c r="T69" s="15" t="n">
        <v>0</v>
      </c>
      <c r="U69" s="15" t="n">
        <v>2</v>
      </c>
      <c r="V69" s="15" t="n">
        <v>0</v>
      </c>
      <c r="W69" s="15" t="n">
        <v>0</v>
      </c>
      <c r="X69" s="15" t="n">
        <v>2</v>
      </c>
      <c r="Y69" s="21" t="n">
        <v>0.01</v>
      </c>
      <c r="Z69" s="21" t="n">
        <v>0.05</v>
      </c>
      <c r="AA69" s="10">
        <f>P69-S69*E69-6*F69-G69</f>
        <v>-2100</v>
      </c>
      <c r="AB69" s="10">
        <f>Q69-T69*E69-6*F69-G69</f>
        <v>-2100</v>
      </c>
      <c r="AC69" s="10">
        <f>R69-U69*E69-6*F69-G69</f>
        <v>21400</v>
      </c>
      <c r="AD69" s="10">
        <f>J69+V69*M69+S69*(N69+O69/60)</f>
        <v>70</v>
      </c>
      <c r="AE69" s="10">
        <f>I69+W69*M69+T69*(N69+O69/60)</f>
        <v>48</v>
      </c>
      <c r="AF69" s="10">
        <f>H69+X69*M69+U69*(N69+O69/60)</f>
        <v>120.6666666666667</v>
      </c>
      <c r="AG69" s="10">
        <f>IF(AE69&gt;0,AB69/AE69,0)</f>
        <v>-43.75</v>
      </c>
      <c r="AH69" s="10">
        <f>IF(W69&gt;0,(Q69-T69*E69)/W69,D69-E69)</f>
        <v>11750</v>
      </c>
      <c r="AI69" s="10">
        <f>IF(AH69&gt;0,(Hedef!$C$5+6*F69+G69)/AH69,0)</f>
        <v>12.43404255319149</v>
      </c>
      <c r="AJ69" s="10">
        <f>IF(AI69&gt;0,AI69/Z69,0)</f>
        <v>248.6808510638298</v>
      </c>
      <c r="AK69" s="10">
        <f>IF(AI69&gt;0,AI69/Y69,0)</f>
        <v>1243.404255319149</v>
      </c>
      <c r="AL69" s="10">
        <f>G69+F69*L69/30</f>
        <v>1900</v>
      </c>
      <c r="AM69" s="7" t="str">
        <f>IF(AB69&gt;=Hedef!$C$5,"evet","hayır")</f>
        <v>hayır</v>
      </c>
      <c r="AN69" s="7" t="str">
        <f>IF(AG69&gt;=Hedef!$C$8,"evet","hayır")</f>
        <v>hayır</v>
      </c>
      <c r="AO69" s="7" t="str">
        <f>IF(AE69&lt;=Hedef!$C$14,"evet","hayır")</f>
        <v>evet</v>
      </c>
      <c r="AP69" s="10">
        <f>AB69/Hedef!$C$4</f>
        <v>-43.75</v>
      </c>
    </row>
    <row r="70">
      <c r="A70" s="7" t="str">
        <f>Secenekler!A70</f>
        <v>atonota-denetim-a</v>
      </c>
      <c r="B70" s="7" t="str">
        <f>Secenekler!C70</f>
        <v>Ücretsiz puan kartı eklentisi ve Pro yıllık lisans</v>
      </c>
      <c r="C70" s="17" t="inlineStr">
        <is>
          <t>yıllık peşin</t>
        </is>
      </c>
      <c r="D70" s="15" t="n">
        <v>1990</v>
      </c>
      <c r="E70" s="15" t="n">
        <v>270</v>
      </c>
      <c r="F70" s="15" t="n">
        <v>2500</v>
      </c>
      <c r="G70" s="15" t="n">
        <v>4000</v>
      </c>
      <c r="H70" s="15" t="n">
        <v>90</v>
      </c>
      <c r="I70" s="15" t="n">
        <v>130</v>
      </c>
      <c r="J70" s="15" t="n">
        <v>200</v>
      </c>
      <c r="K70" s="15" t="n">
        <v>60</v>
      </c>
      <c r="L70" s="15" t="n">
        <v>120</v>
      </c>
      <c r="M70" s="15" t="n">
        <v>1</v>
      </c>
      <c r="N70" s="15" t="n">
        <v>0</v>
      </c>
      <c r="O70" s="15" t="n">
        <v>5</v>
      </c>
      <c r="P70" s="15" t="n">
        <v>3980</v>
      </c>
      <c r="Q70" s="15" t="n">
        <v>21080</v>
      </c>
      <c r="R70" s="15" t="n">
        <v>91100</v>
      </c>
      <c r="S70" s="15" t="n">
        <v>2</v>
      </c>
      <c r="T70" s="15" t="n">
        <v>8</v>
      </c>
      <c r="U70" s="15" t="n">
        <v>38</v>
      </c>
      <c r="V70" s="15" t="n">
        <v>2</v>
      </c>
      <c r="W70" s="15" t="n">
        <v>8</v>
      </c>
      <c r="X70" s="15" t="n">
        <v>38</v>
      </c>
      <c r="Y70" s="21" t="n">
        <v>0.005</v>
      </c>
      <c r="Z70" s="21" t="n">
        <v>0.02</v>
      </c>
      <c r="AA70" s="10">
        <f>P70-S70*E70-6*F70-G70</f>
        <v>-15560</v>
      </c>
      <c r="AB70" s="10">
        <f>Q70-T70*E70-6*F70-G70</f>
        <v>-80</v>
      </c>
      <c r="AC70" s="10">
        <f>R70-U70*E70-6*F70-G70</f>
        <v>61840</v>
      </c>
      <c r="AD70" s="10">
        <f>J70+V70*M70+S70*(N70+O70/60)</f>
        <v>202.1666666666667</v>
      </c>
      <c r="AE70" s="10">
        <f>I70+W70*M70+T70*(N70+O70/60)</f>
        <v>138.6666666666667</v>
      </c>
      <c r="AF70" s="10">
        <f>H70+X70*M70+U70*(N70+O70/60)</f>
        <v>131.1666666666667</v>
      </c>
      <c r="AG70" s="10">
        <f>IF(AE70&gt;0,AB70/AE70,0)</f>
        <v>-0.576923076923077</v>
      </c>
      <c r="AH70" s="10">
        <f>IF(W70&gt;0,(Q70-T70*E70)/W70,D70-E70)</f>
        <v>2365</v>
      </c>
      <c r="AI70" s="10">
        <f>IF(AH70&gt;0,(Hedef!$C$5+6*F70+G70)/AH70,0)</f>
        <v>68.92177589852008</v>
      </c>
      <c r="AJ70" s="10">
        <f>IF(AI70&gt;0,AI70/Z70,0)</f>
        <v>3446.088794926004</v>
      </c>
      <c r="AK70" s="10">
        <f>IF(AI70&gt;0,AI70/Y70,0)</f>
        <v>13784.35517970402</v>
      </c>
      <c r="AL70" s="10">
        <f>G70+F70*L70/30</f>
        <v>14000</v>
      </c>
      <c r="AM70" s="7" t="str">
        <f>IF(AB70&gt;=Hedef!$C$5,"evet","hayır")</f>
        <v>hayır</v>
      </c>
      <c r="AN70" s="7" t="str">
        <f>IF(AG70&gt;=Hedef!$C$8,"evet","hayır")</f>
        <v>hayır</v>
      </c>
      <c r="AO70" s="7" t="str">
        <f>IF(AE70&lt;=Hedef!$C$14,"evet","hayır")</f>
        <v>evet</v>
      </c>
      <c r="AP70" s="10">
        <f>AB70/Hedef!$C$4</f>
        <v>-1.666666666666667</v>
      </c>
    </row>
    <row r="71">
      <c r="A71" s="7" t="str">
        <f>Secenekler!A71</f>
        <v>atonota-denetim-b</v>
      </c>
      <c r="B71" s="7" t="str">
        <f>Secenekler!C71</f>
        <v>Ajans lisansı: 25 site için aylık müşteri sağlık raporu</v>
      </c>
      <c r="C71" s="17" t="inlineStr">
        <is>
          <t>yıllık peşin</t>
        </is>
      </c>
      <c r="D71" s="15" t="n">
        <v>7150</v>
      </c>
      <c r="E71" s="15" t="n">
        <v>1100</v>
      </c>
      <c r="F71" s="15" t="n">
        <v>1500</v>
      </c>
      <c r="G71" s="15" t="n">
        <v>4000</v>
      </c>
      <c r="H71" s="15" t="n">
        <v>90</v>
      </c>
      <c r="I71" s="15" t="n">
        <v>130</v>
      </c>
      <c r="J71" s="15" t="n">
        <v>200</v>
      </c>
      <c r="K71" s="15" t="n">
        <v>45</v>
      </c>
      <c r="L71" s="15" t="n">
        <v>120</v>
      </c>
      <c r="M71" s="15" t="n">
        <v>4</v>
      </c>
      <c r="N71" s="15" t="n">
        <v>1</v>
      </c>
      <c r="O71" s="15" t="n">
        <v>60</v>
      </c>
      <c r="P71" s="15" t="n">
        <v>0</v>
      </c>
      <c r="Q71" s="15" t="n">
        <v>14300</v>
      </c>
      <c r="R71" s="15" t="n">
        <v>50050</v>
      </c>
      <c r="S71" s="15" t="n">
        <v>0</v>
      </c>
      <c r="T71" s="15" t="n">
        <v>2</v>
      </c>
      <c r="U71" s="15" t="n">
        <v>7</v>
      </c>
      <c r="V71" s="15" t="n">
        <v>0</v>
      </c>
      <c r="W71" s="15" t="n">
        <v>2</v>
      </c>
      <c r="X71" s="15" t="n">
        <v>7</v>
      </c>
      <c r="Y71" s="21" t="n">
        <v>0.03</v>
      </c>
      <c r="Z71" s="21" t="n">
        <v>0.08</v>
      </c>
      <c r="AA71" s="10">
        <f>P71-S71*E71-6*F71-G71</f>
        <v>-13000</v>
      </c>
      <c r="AB71" s="10">
        <f>Q71-T71*E71-6*F71-G71</f>
        <v>-900</v>
      </c>
      <c r="AC71" s="10">
        <f>R71-U71*E71-6*F71-G71</f>
        <v>29350</v>
      </c>
      <c r="AD71" s="10">
        <f>J71+V71*M71+S71*(N71+O71/60)</f>
        <v>200</v>
      </c>
      <c r="AE71" s="10">
        <f>I71+W71*M71+T71*(N71+O71/60)</f>
        <v>142</v>
      </c>
      <c r="AF71" s="10">
        <f>H71+X71*M71+U71*(N71+O71/60)</f>
        <v>132</v>
      </c>
      <c r="AG71" s="10">
        <f>IF(AE71&gt;0,AB71/AE71,0)</f>
        <v>-6.338028169014085</v>
      </c>
      <c r="AH71" s="10">
        <f>IF(W71&gt;0,(Q71-T71*E71)/W71,D71-E71)</f>
        <v>6050</v>
      </c>
      <c r="AI71" s="10">
        <f>IF(AH71&gt;0,(Hedef!$C$5+6*F71+G71)/AH71,0)</f>
        <v>25.9504132231405</v>
      </c>
      <c r="AJ71" s="10">
        <f>IF(AI71&gt;0,AI71/Z71,0)</f>
        <v>324.3801652892562</v>
      </c>
      <c r="AK71" s="10">
        <f>IF(AI71&gt;0,AI71/Y71,0)</f>
        <v>865.0137741046833</v>
      </c>
      <c r="AL71" s="10">
        <f>G71+F71*L71/30</f>
        <v>10000</v>
      </c>
      <c r="AM71" s="7" t="str">
        <f>IF(AB71&gt;=Hedef!$C$5,"evet","hayır")</f>
        <v>hayır</v>
      </c>
      <c r="AN71" s="7" t="str">
        <f>IF(AG71&gt;=Hedef!$C$8,"evet","hayır")</f>
        <v>hayır</v>
      </c>
      <c r="AO71" s="7" t="str">
        <f>IF(AE71&lt;=Hedef!$C$14,"evet","hayır")</f>
        <v>evet</v>
      </c>
      <c r="AP71" s="10">
        <f>AB71/Hedef!$C$4</f>
        <v>-18.75</v>
      </c>
    </row>
    <row r="72">
      <c r="A72" s="7" t="str">
        <f>Secenekler!A72</f>
        <v>atonota-denetim-c</v>
      </c>
      <c r="B72" s="7" t="str">
        <f>Secenekler!C72</f>
        <v>Ajans için müşteri kabul ve teslim kaydı hizmeti (pilot)</v>
      </c>
      <c r="C72" s="17" t="inlineStr">
        <is>
          <t>aylık abonelik</t>
        </is>
      </c>
      <c r="D72" s="15" t="n">
        <v>5000</v>
      </c>
      <c r="E72" s="15" t="n">
        <v>1950</v>
      </c>
      <c r="F72" s="15" t="n">
        <v>1000</v>
      </c>
      <c r="G72" s="15" t="n">
        <v>6000</v>
      </c>
      <c r="H72" s="15" t="n">
        <v>60</v>
      </c>
      <c r="I72" s="15" t="n">
        <v>120</v>
      </c>
      <c r="J72" s="15" t="n">
        <v>320</v>
      </c>
      <c r="K72" s="15" t="n">
        <v>60</v>
      </c>
      <c r="L72" s="15" t="n">
        <v>150</v>
      </c>
      <c r="M72" s="15" t="n">
        <v>10</v>
      </c>
      <c r="N72" s="15" t="n">
        <v>10</v>
      </c>
      <c r="O72" s="15" t="n">
        <v>60</v>
      </c>
      <c r="P72" s="15" t="n">
        <v>0</v>
      </c>
      <c r="Q72" s="15" t="n">
        <v>15000</v>
      </c>
      <c r="R72" s="15" t="n">
        <v>45000</v>
      </c>
      <c r="S72" s="15" t="n">
        <v>0</v>
      </c>
      <c r="T72" s="15" t="n">
        <v>3</v>
      </c>
      <c r="U72" s="15" t="n">
        <v>9</v>
      </c>
      <c r="V72" s="15" t="n">
        <v>0</v>
      </c>
      <c r="W72" s="15" t="n">
        <v>1</v>
      </c>
      <c r="X72" s="15" t="n">
        <v>3</v>
      </c>
      <c r="Y72" s="21" t="n">
        <v>0.02</v>
      </c>
      <c r="Z72" s="21" t="n">
        <v>0.08</v>
      </c>
      <c r="AA72" s="10">
        <f>P72-S72*E72-6*F72-G72</f>
        <v>-12000</v>
      </c>
      <c r="AB72" s="10">
        <f>Q72-T72*E72-6*F72-G72</f>
        <v>-2850</v>
      </c>
      <c r="AC72" s="10">
        <f>R72-U72*E72-6*F72-G72</f>
        <v>15450</v>
      </c>
      <c r="AD72" s="10">
        <f>J72+V72*M72+S72*(N72+O72/60)</f>
        <v>320</v>
      </c>
      <c r="AE72" s="10">
        <f>I72+W72*M72+T72*(N72+O72/60)</f>
        <v>163</v>
      </c>
      <c r="AF72" s="10">
        <f>H72+X72*M72+U72*(N72+O72/60)</f>
        <v>189</v>
      </c>
      <c r="AG72" s="10">
        <f>IF(AE72&gt;0,AB72/AE72,0)</f>
        <v>-17.48466257668712</v>
      </c>
      <c r="AH72" s="10">
        <f>IF(W72&gt;0,(Q72-T72*E72)/W72,D72-E72)</f>
        <v>9150</v>
      </c>
      <c r="AI72" s="10">
        <f>IF(AH72&gt;0,(Hedef!$C$5+6*F72+G72)/AH72,0)</f>
        <v>17.04918032786885</v>
      </c>
      <c r="AJ72" s="10">
        <f>IF(AI72&gt;0,AI72/Z72,0)</f>
        <v>213.1147540983607</v>
      </c>
      <c r="AK72" s="10">
        <f>IF(AI72&gt;0,AI72/Y72,0)</f>
        <v>852.4590163934427</v>
      </c>
      <c r="AL72" s="10">
        <f>G72+F72*L72/30</f>
        <v>11000</v>
      </c>
      <c r="AM72" s="7" t="str">
        <f>IF(AB72&gt;=Hedef!$C$5,"evet","hayır")</f>
        <v>hayır</v>
      </c>
      <c r="AN72" s="7" t="str">
        <f>IF(AG72&gt;=Hedef!$C$8,"evet","hayır")</f>
        <v>hayır</v>
      </c>
      <c r="AO72" s="7" t="str">
        <f>IF(AE72&lt;=Hedef!$C$14,"evet","hayır")</f>
        <v>evet</v>
      </c>
      <c r="AP72" s="10">
        <f>AB72/Hedef!$C$4</f>
        <v>-59.375</v>
      </c>
    </row>
    <row r="73">
      <c r="A73" s="7" t="str">
        <f>Secenekler!A73</f>
        <v>b2b-bilesenler-a</v>
      </c>
      <c r="B73" s="7" t="str">
        <f>Secenekler!C73</f>
        <v>Site paketine ek: ürün sayfası ve hareket blokları</v>
      </c>
      <c r="C73" s="17" t="inlineStr">
        <is>
          <t>tek seferlik</t>
        </is>
      </c>
      <c r="D73" s="15" t="n">
        <v>20000</v>
      </c>
      <c r="E73" s="15" t="n">
        <v>1500</v>
      </c>
      <c r="F73" s="15" t="n">
        <v>750</v>
      </c>
      <c r="G73" s="15" t="n">
        <v>9000</v>
      </c>
      <c r="H73" s="15" t="n">
        <v>60</v>
      </c>
      <c r="I73" s="15" t="n">
        <v>90</v>
      </c>
      <c r="J73" s="15" t="n">
        <v>140</v>
      </c>
      <c r="K73" s="15" t="n">
        <v>60</v>
      </c>
      <c r="L73" s="15" t="n">
        <v>120</v>
      </c>
      <c r="M73" s="15" t="n">
        <v>5</v>
      </c>
      <c r="N73" s="15" t="n">
        <v>34</v>
      </c>
      <c r="O73" s="15" t="n">
        <v>30</v>
      </c>
      <c r="P73" s="15" t="n">
        <v>0</v>
      </c>
      <c r="Q73" s="15" t="n">
        <v>30000</v>
      </c>
      <c r="R73" s="15" t="n">
        <v>60000</v>
      </c>
      <c r="S73" s="15" t="n">
        <v>0</v>
      </c>
      <c r="T73" s="15" t="n">
        <v>2</v>
      </c>
      <c r="U73" s="15" t="n">
        <v>4</v>
      </c>
      <c r="V73" s="15" t="n">
        <v>0</v>
      </c>
      <c r="W73" s="15" t="n">
        <v>1</v>
      </c>
      <c r="X73" s="15" t="n">
        <v>2</v>
      </c>
      <c r="Y73" s="21" t="n">
        <v>0.1</v>
      </c>
      <c r="Z73" s="21" t="n">
        <v>0.25</v>
      </c>
      <c r="AA73" s="10">
        <f>P73-S73*E73-6*F73-G73</f>
        <v>-13500</v>
      </c>
      <c r="AB73" s="10">
        <f>Q73-T73*E73-6*F73-G73</f>
        <v>13500</v>
      </c>
      <c r="AC73" s="10">
        <f>R73-U73*E73-6*F73-G73</f>
        <v>40500</v>
      </c>
      <c r="AD73" s="10">
        <f>J73+V73*M73+S73*(N73+O73/60)</f>
        <v>140</v>
      </c>
      <c r="AE73" s="10">
        <f>I73+W73*M73+T73*(N73+O73/60)</f>
        <v>164</v>
      </c>
      <c r="AF73" s="10">
        <f>H73+X73*M73+U73*(N73+O73/60)</f>
        <v>208</v>
      </c>
      <c r="AG73" s="10">
        <f>IF(AE73&gt;0,AB73/AE73,0)</f>
        <v>82.3170731707317</v>
      </c>
      <c r="AH73" s="10">
        <f>IF(W73&gt;0,(Q73-T73*E73)/W73,D73-E73)</f>
        <v>27000</v>
      </c>
      <c r="AI73" s="10">
        <f>IF(AH73&gt;0,(Hedef!$C$5+6*F73+G73)/AH73,0)</f>
        <v>5.833333333333333</v>
      </c>
      <c r="AJ73" s="10">
        <f>IF(AI73&gt;0,AI73/Z73,0)</f>
        <v>23.33333333333333</v>
      </c>
      <c r="AK73" s="10">
        <f>IF(AI73&gt;0,AI73/Y73,0)</f>
        <v>58.33333333333333</v>
      </c>
      <c r="AL73" s="10">
        <f>G73+F73*L73/30</f>
        <v>12000</v>
      </c>
      <c r="AM73" s="7" t="str">
        <f>IF(AB73&gt;=Hedef!$C$5,"evet","hayır")</f>
        <v>hayır</v>
      </c>
      <c r="AN73" s="7" t="str">
        <f>IF(AG73&gt;=Hedef!$C$8,"evet","hayır")</f>
        <v>hayır</v>
      </c>
      <c r="AO73" s="7" t="str">
        <f>IF(AE73&lt;=Hedef!$C$14,"evet","hayır")</f>
        <v>evet</v>
      </c>
      <c r="AP73" s="10">
        <f>AB73/Hedef!$C$4</f>
        <v>281.25</v>
      </c>
    </row>
    <row r="74">
      <c r="A74" s="7" t="str">
        <f>Secenekler!A74</f>
        <v>b2b-bilesenler-b</v>
      </c>
      <c r="B74" s="7" t="str">
        <f>Secenekler!C74</f>
        <v>Tek ürün, iki mobil alıcı görünümü (sabit paket)</v>
      </c>
      <c r="C74" s="17" t="inlineStr">
        <is>
          <t>tek seferlik</t>
        </is>
      </c>
      <c r="D74" s="15" t="n">
        <v>12000</v>
      </c>
      <c r="E74" s="15" t="n">
        <v>600</v>
      </c>
      <c r="F74" s="15" t="n">
        <v>300</v>
      </c>
      <c r="G74" s="15" t="n">
        <v>3000</v>
      </c>
      <c r="H74" s="15" t="n">
        <v>30</v>
      </c>
      <c r="I74" s="15" t="n">
        <v>50</v>
      </c>
      <c r="J74" s="15" t="n">
        <v>80</v>
      </c>
      <c r="K74" s="15" t="n">
        <v>40</v>
      </c>
      <c r="L74" s="15" t="n">
        <v>130</v>
      </c>
      <c r="M74" s="15" t="n">
        <v>5</v>
      </c>
      <c r="N74" s="15" t="n">
        <v>40</v>
      </c>
      <c r="O74" s="15" t="n">
        <v>20</v>
      </c>
      <c r="P74" s="15" t="n">
        <v>0</v>
      </c>
      <c r="Q74" s="15" t="n">
        <v>12000</v>
      </c>
      <c r="R74" s="15" t="n">
        <v>36000</v>
      </c>
      <c r="S74" s="15" t="n">
        <v>0</v>
      </c>
      <c r="T74" s="15" t="n">
        <v>1</v>
      </c>
      <c r="U74" s="15" t="n">
        <v>3</v>
      </c>
      <c r="V74" s="15" t="n">
        <v>0</v>
      </c>
      <c r="W74" s="15" t="n">
        <v>1</v>
      </c>
      <c r="X74" s="15" t="n">
        <v>3</v>
      </c>
      <c r="Y74" s="21" t="n">
        <v>0.01</v>
      </c>
      <c r="Z74" s="21" t="n">
        <v>0.03</v>
      </c>
      <c r="AA74" s="10">
        <f>P74-S74*E74-6*F74-G74</f>
        <v>-4800</v>
      </c>
      <c r="AB74" s="10">
        <f>Q74-T74*E74-6*F74-G74</f>
        <v>6600</v>
      </c>
      <c r="AC74" s="10">
        <f>R74-U74*E74-6*F74-G74</f>
        <v>29400</v>
      </c>
      <c r="AD74" s="10">
        <f>J74+V74*M74+S74*(N74+O74/60)</f>
        <v>80</v>
      </c>
      <c r="AE74" s="10">
        <f>I74+W74*M74+T74*(N74+O74/60)</f>
        <v>95.33333333333334</v>
      </c>
      <c r="AF74" s="10">
        <f>H74+X74*M74+U74*(N74+O74/60)</f>
        <v>166</v>
      </c>
      <c r="AG74" s="10">
        <f>IF(AE74&gt;0,AB74/AE74,0)</f>
        <v>69.23076923076923</v>
      </c>
      <c r="AH74" s="10">
        <f>IF(W74&gt;0,(Q74-T74*E74)/W74,D74-E74)</f>
        <v>11400</v>
      </c>
      <c r="AI74" s="10">
        <f>IF(AH74&gt;0,(Hedef!$C$5+6*F74+G74)/AH74,0)</f>
        <v>13.05263157894737</v>
      </c>
      <c r="AJ74" s="10">
        <f>IF(AI74&gt;0,AI74/Z74,0)</f>
        <v>435.0877192982456</v>
      </c>
      <c r="AK74" s="10">
        <f>IF(AI74&gt;0,AI74/Y74,0)</f>
        <v>1305.263157894737</v>
      </c>
      <c r="AL74" s="10">
        <f>G74+F74*L74/30</f>
        <v>4300</v>
      </c>
      <c r="AM74" s="7" t="str">
        <f>IF(AB74&gt;=Hedef!$C$5,"evet","hayır")</f>
        <v>hayır</v>
      </c>
      <c r="AN74" s="7" t="str">
        <f>IF(AG74&gt;=Hedef!$C$8,"evet","hayır")</f>
        <v>hayır</v>
      </c>
      <c r="AO74" s="7" t="str">
        <f>IF(AE74&lt;=Hedef!$C$14,"evet","hayır")</f>
        <v>evet</v>
      </c>
      <c r="AP74" s="10">
        <f>AB74/Hedef!$C$4</f>
        <v>137.5</v>
      </c>
    </row>
    <row r="75">
      <c r="A75" s="7" t="str">
        <f>Secenekler!A75</f>
        <v>b2b-bilesenler-c</v>
      </c>
      <c r="B75" s="7" t="str">
        <f>Secenekler!C75</f>
        <v>Astro ve Tailwind ürün sayfası şablonu (kod satışı)</v>
      </c>
      <c r="C75" s="17" t="inlineStr">
        <is>
          <t>tek seferlik</t>
        </is>
      </c>
      <c r="D75" s="15" t="n">
        <v>2352</v>
      </c>
      <c r="E75" s="15" t="n">
        <v>142</v>
      </c>
      <c r="F75" s="15" t="n">
        <v>750</v>
      </c>
      <c r="G75" s="15" t="n">
        <v>9000</v>
      </c>
      <c r="H75" s="15" t="n">
        <v>90</v>
      </c>
      <c r="I75" s="15" t="n">
        <v>130</v>
      </c>
      <c r="J75" s="15" t="n">
        <v>180</v>
      </c>
      <c r="K75" s="15" t="n">
        <v>90</v>
      </c>
      <c r="L75" s="15" t="n">
        <v>180</v>
      </c>
      <c r="M75" s="15" t="n">
        <v>0.5</v>
      </c>
      <c r="N75" s="15" t="n">
        <v>0</v>
      </c>
      <c r="O75" s="15" t="n">
        <v>15</v>
      </c>
      <c r="P75" s="15" t="n">
        <v>0</v>
      </c>
      <c r="Q75" s="15" t="n">
        <v>4704</v>
      </c>
      <c r="R75" s="15" t="n">
        <v>18816</v>
      </c>
      <c r="S75" s="15" t="n">
        <v>0</v>
      </c>
      <c r="T75" s="15" t="n">
        <v>2</v>
      </c>
      <c r="U75" s="15" t="n">
        <v>8</v>
      </c>
      <c r="V75" s="15" t="n">
        <v>0</v>
      </c>
      <c r="W75" s="15" t="n">
        <v>2</v>
      </c>
      <c r="X75" s="15" t="n">
        <v>8</v>
      </c>
      <c r="Y75" s="21" t="n">
        <v>0.005</v>
      </c>
      <c r="Z75" s="21" t="n">
        <v>0.02</v>
      </c>
      <c r="AA75" s="10">
        <f>P75-S75*E75-6*F75-G75</f>
        <v>-13500</v>
      </c>
      <c r="AB75" s="10">
        <f>Q75-T75*E75-6*F75-G75</f>
        <v>-9080</v>
      </c>
      <c r="AC75" s="10">
        <f>R75-U75*E75-6*F75-G75</f>
        <v>4180</v>
      </c>
      <c r="AD75" s="10">
        <f>J75+V75*M75+S75*(N75+O75/60)</f>
        <v>180</v>
      </c>
      <c r="AE75" s="10">
        <f>I75+W75*M75+T75*(N75+O75/60)</f>
        <v>131.5</v>
      </c>
      <c r="AF75" s="10">
        <f>H75+X75*M75+U75*(N75+O75/60)</f>
        <v>96</v>
      </c>
      <c r="AG75" s="10">
        <f>IF(AE75&gt;0,AB75/AE75,0)</f>
        <v>-69.04942965779468</v>
      </c>
      <c r="AH75" s="10">
        <f>IF(W75&gt;0,(Q75-T75*E75)/W75,D75-E75)</f>
        <v>2210</v>
      </c>
      <c r="AI75" s="10">
        <f>IF(AH75&gt;0,(Hedef!$C$5+6*F75+G75)/AH75,0)</f>
        <v>71.26696832579185</v>
      </c>
      <c r="AJ75" s="10">
        <f>IF(AI75&gt;0,AI75/Z75,0)</f>
        <v>3563.348416289592</v>
      </c>
      <c r="AK75" s="10">
        <f>IF(AI75&gt;0,AI75/Y75,0)</f>
        <v>14253.39366515837</v>
      </c>
      <c r="AL75" s="10">
        <f>G75+F75*L75/30</f>
        <v>13500</v>
      </c>
      <c r="AM75" s="7" t="str">
        <f>IF(AB75&gt;=Hedef!$C$5,"evet","hayır")</f>
        <v>hayır</v>
      </c>
      <c r="AN75" s="7" t="str">
        <f>IF(AG75&gt;=Hedef!$C$8,"evet","hayır")</f>
        <v>hayır</v>
      </c>
      <c r="AO75" s="7" t="str">
        <f>IF(AE75&lt;=Hedef!$C$14,"evet","hayır")</f>
        <v>evet</v>
      </c>
      <c r="AP75" s="10">
        <f>AB75/Hedef!$C$4</f>
        <v>-189.1666666666667</v>
      </c>
    </row>
    <row r="76">
      <c r="A76" s="7" t="str">
        <f>Secenekler!A76</f>
        <v>banner-post-a</v>
      </c>
      <c r="B76" s="7" t="str">
        <f>Secenekler!C76</f>
        <v>Zabuno içinde kampanya görseli modülü</v>
      </c>
      <c r="C76" s="17" t="inlineStr">
        <is>
          <t>aylık abonelik</t>
        </is>
      </c>
      <c r="D76" s="15" t="n">
        <v>500</v>
      </c>
      <c r="E76" s="15" t="n">
        <v>10</v>
      </c>
      <c r="F76" s="15" t="n">
        <v>3000</v>
      </c>
      <c r="G76" s="15" t="n">
        <v>15000</v>
      </c>
      <c r="H76" s="15" t="n">
        <v>160</v>
      </c>
      <c r="I76" s="15" t="n">
        <v>250</v>
      </c>
      <c r="J76" s="15" t="n">
        <v>320</v>
      </c>
      <c r="K76" s="15" t="n">
        <v>60</v>
      </c>
      <c r="L76" s="15" t="n">
        <v>150</v>
      </c>
      <c r="M76" s="15" t="n">
        <v>3</v>
      </c>
      <c r="N76" s="15" t="n">
        <v>0</v>
      </c>
      <c r="O76" s="15" t="n">
        <v>20</v>
      </c>
      <c r="P76" s="15" t="n">
        <v>0</v>
      </c>
      <c r="Q76" s="15" t="n">
        <v>7500</v>
      </c>
      <c r="R76" s="15" t="n">
        <v>22500</v>
      </c>
      <c r="S76" s="15" t="n">
        <v>0</v>
      </c>
      <c r="T76" s="15" t="n">
        <v>15</v>
      </c>
      <c r="U76" s="15" t="n">
        <v>45</v>
      </c>
      <c r="V76" s="15" t="n">
        <v>0</v>
      </c>
      <c r="W76" s="15" t="n">
        <v>8</v>
      </c>
      <c r="X76" s="15" t="n">
        <v>15</v>
      </c>
      <c r="Y76" s="21" t="n">
        <v>0.1</v>
      </c>
      <c r="Z76" s="21" t="n">
        <v>0.25</v>
      </c>
      <c r="AA76" s="10">
        <f>P76-S76*E76-6*F76-G76</f>
        <v>-33000</v>
      </c>
      <c r="AB76" s="10">
        <f>Q76-T76*E76-6*F76-G76</f>
        <v>-25650</v>
      </c>
      <c r="AC76" s="10">
        <f>R76-U76*E76-6*F76-G76</f>
        <v>-10950</v>
      </c>
      <c r="AD76" s="10">
        <f>J76+V76*M76+S76*(N76+O76/60)</f>
        <v>320</v>
      </c>
      <c r="AE76" s="10">
        <f>I76+W76*M76+T76*(N76+O76/60)</f>
        <v>279</v>
      </c>
      <c r="AF76" s="10">
        <f>H76+X76*M76+U76*(N76+O76/60)</f>
        <v>220</v>
      </c>
      <c r="AG76" s="10">
        <f>IF(AE76&gt;0,AB76/AE76,0)</f>
        <v>-91.93548387096774</v>
      </c>
      <c r="AH76" s="10">
        <f>IF(W76&gt;0,(Q76-T76*E76)/W76,D76-E76)</f>
        <v>918.75</v>
      </c>
      <c r="AI76" s="10">
        <f>IF(AH76&gt;0,(Hedef!$C$5+6*F76+G76)/AH76,0)</f>
        <v>192.6530612244898</v>
      </c>
      <c r="AJ76" s="10">
        <f>IF(AI76&gt;0,AI76/Z76,0)</f>
        <v>770.6122448979592</v>
      </c>
      <c r="AK76" s="10">
        <f>IF(AI76&gt;0,AI76/Y76,0)</f>
        <v>1926.530612244898</v>
      </c>
      <c r="AL76" s="10">
        <f>G76+F76*L76/30</f>
        <v>30000</v>
      </c>
      <c r="AM76" s="7" t="str">
        <f>IF(AB76&gt;=Hedef!$C$5,"evet","hayır")</f>
        <v>hayır</v>
      </c>
      <c r="AN76" s="7" t="str">
        <f>IF(AG76&gt;=Hedef!$C$8,"evet","hayır")</f>
        <v>hayır</v>
      </c>
      <c r="AO76" s="7" t="str">
        <f>IF(AE76&lt;=Hedef!$C$14,"evet","hayır")</f>
        <v>evet</v>
      </c>
      <c r="AP76" s="10">
        <f>AB76/Hedef!$C$4</f>
        <v>-534.375</v>
      </c>
    </row>
    <row r="77">
      <c r="A77" s="7" t="str">
        <f>Secenekler!A77</f>
        <v>banner-post-b</v>
      </c>
      <c r="B77" s="7" t="str">
        <f>Secenekler!C77</f>
        <v>Sosyal görsel hizmet paketi (sabit kapsam)</v>
      </c>
      <c r="C77" s="17" t="inlineStr">
        <is>
          <t>aylık abonelik</t>
        </is>
      </c>
      <c r="D77" s="15" t="n">
        <v>7500</v>
      </c>
      <c r="E77" s="15" t="n">
        <v>4800</v>
      </c>
      <c r="F77" s="15" t="n">
        <v>500</v>
      </c>
      <c r="G77" s="15" t="n">
        <v>5000</v>
      </c>
      <c r="H77" s="15" t="n">
        <v>10</v>
      </c>
      <c r="I77" s="15" t="n">
        <v>20</v>
      </c>
      <c r="J77" s="15" t="n">
        <v>40</v>
      </c>
      <c r="K77" s="15" t="n">
        <v>14</v>
      </c>
      <c r="L77" s="15" t="n">
        <v>45</v>
      </c>
      <c r="M77" s="15" t="n">
        <v>6</v>
      </c>
      <c r="N77" s="15" t="n">
        <v>8</v>
      </c>
      <c r="O77" s="15" t="n">
        <v>60</v>
      </c>
      <c r="P77" s="15" t="n">
        <v>0</v>
      </c>
      <c r="Q77" s="15" t="n">
        <v>35000</v>
      </c>
      <c r="R77" s="15" t="n">
        <v>85000</v>
      </c>
      <c r="S77" s="15" t="n">
        <v>0</v>
      </c>
      <c r="T77" s="15" t="n">
        <v>4</v>
      </c>
      <c r="U77" s="15" t="n">
        <v>10</v>
      </c>
      <c r="V77" s="15" t="n">
        <v>0</v>
      </c>
      <c r="W77" s="15" t="n">
        <v>1</v>
      </c>
      <c r="X77" s="15" t="n">
        <v>2</v>
      </c>
      <c r="Y77" s="21" t="n">
        <v>0.1</v>
      </c>
      <c r="Z77" s="21" t="n">
        <v>0.3</v>
      </c>
      <c r="AA77" s="10">
        <f>P77-S77*E77-6*F77-G77</f>
        <v>-8000</v>
      </c>
      <c r="AB77" s="10">
        <f>Q77-T77*E77-6*F77-G77</f>
        <v>7800</v>
      </c>
      <c r="AC77" s="10">
        <f>R77-U77*E77-6*F77-G77</f>
        <v>29000</v>
      </c>
      <c r="AD77" s="10">
        <f>J77+V77*M77+S77*(N77+O77/60)</f>
        <v>40</v>
      </c>
      <c r="AE77" s="10">
        <f>I77+W77*M77+T77*(N77+O77/60)</f>
        <v>62</v>
      </c>
      <c r="AF77" s="10">
        <f>H77+X77*M77+U77*(N77+O77/60)</f>
        <v>112</v>
      </c>
      <c r="AG77" s="10">
        <f>IF(AE77&gt;0,AB77/AE77,0)</f>
        <v>125.8064516129032</v>
      </c>
      <c r="AH77" s="10">
        <f>IF(W77&gt;0,(Q77-T77*E77)/W77,D77-E77)</f>
        <v>15800</v>
      </c>
      <c r="AI77" s="10">
        <f>IF(AH77&gt;0,(Hedef!$C$5+6*F77+G77)/AH77,0)</f>
        <v>9.620253164556962</v>
      </c>
      <c r="AJ77" s="10">
        <f>IF(AI77&gt;0,AI77/Z77,0)</f>
        <v>32.06751054852321</v>
      </c>
      <c r="AK77" s="10">
        <f>IF(AI77&gt;0,AI77/Y77,0)</f>
        <v>96.20253164556961</v>
      </c>
      <c r="AL77" s="10">
        <f>G77+F77*L77/30</f>
        <v>5750</v>
      </c>
      <c r="AM77" s="7" t="str">
        <f>IF(AB77&gt;=Hedef!$C$5,"evet","hayır")</f>
        <v>hayır</v>
      </c>
      <c r="AN77" s="7" t="str">
        <f>IF(AG77&gt;=Hedef!$C$8,"evet","hayır")</f>
        <v>hayır</v>
      </c>
      <c r="AO77" s="7" t="str">
        <f>IF(AE77&lt;=Hedef!$C$14,"evet","hayır")</f>
        <v>evet</v>
      </c>
      <c r="AP77" s="10">
        <f>AB77/Hedef!$C$4</f>
        <v>162.5</v>
      </c>
    </row>
    <row r="78">
      <c r="A78" s="7" t="str">
        <f>Secenekler!A78</f>
        <v>banner-post-c</v>
      </c>
      <c r="B78" s="7" t="str">
        <f>Secenekler!C78</f>
        <v>Ajanslara toplu banner paketi (CSV)</v>
      </c>
      <c r="C78" s="17" t="inlineStr">
        <is>
          <t>tek seferlik</t>
        </is>
      </c>
      <c r="D78" s="15" t="n">
        <v>6000</v>
      </c>
      <c r="E78" s="15" t="n">
        <v>1000</v>
      </c>
      <c r="F78" s="15" t="n">
        <v>0</v>
      </c>
      <c r="G78" s="15" t="n">
        <v>2000</v>
      </c>
      <c r="H78" s="15" t="n">
        <v>20</v>
      </c>
      <c r="I78" s="15" t="n">
        <v>50</v>
      </c>
      <c r="J78" s="15" t="n">
        <v>100</v>
      </c>
      <c r="K78" s="15" t="n">
        <v>21</v>
      </c>
      <c r="L78" s="15" t="n">
        <v>90</v>
      </c>
      <c r="M78" s="15" t="n">
        <v>6</v>
      </c>
      <c r="N78" s="15" t="n">
        <v>16</v>
      </c>
      <c r="O78" s="15" t="n">
        <v>30</v>
      </c>
      <c r="P78" s="15" t="n">
        <v>0</v>
      </c>
      <c r="Q78" s="15" t="n">
        <v>6000</v>
      </c>
      <c r="R78" s="15" t="n">
        <v>18000</v>
      </c>
      <c r="S78" s="15" t="n">
        <v>0</v>
      </c>
      <c r="T78" s="15" t="n">
        <v>1</v>
      </c>
      <c r="U78" s="15" t="n">
        <v>3</v>
      </c>
      <c r="V78" s="15" t="n">
        <v>0</v>
      </c>
      <c r="W78" s="15" t="n">
        <v>1</v>
      </c>
      <c r="X78" s="15" t="n">
        <v>3</v>
      </c>
      <c r="Y78" s="21" t="n">
        <v>0.02</v>
      </c>
      <c r="Z78" s="21" t="n">
        <v>0.1</v>
      </c>
      <c r="AA78" s="10">
        <f>P78-S78*E78-6*F78-G78</f>
        <v>-2000</v>
      </c>
      <c r="AB78" s="10">
        <f>Q78-T78*E78-6*F78-G78</f>
        <v>3000</v>
      </c>
      <c r="AC78" s="10">
        <f>R78-U78*E78-6*F78-G78</f>
        <v>13000</v>
      </c>
      <c r="AD78" s="10">
        <f>J78+V78*M78+S78*(N78+O78/60)</f>
        <v>100</v>
      </c>
      <c r="AE78" s="10">
        <f>I78+W78*M78+T78*(N78+O78/60)</f>
        <v>72.5</v>
      </c>
      <c r="AF78" s="10">
        <f>H78+X78*M78+U78*(N78+O78/60)</f>
        <v>87.5</v>
      </c>
      <c r="AG78" s="10">
        <f>IF(AE78&gt;0,AB78/AE78,0)</f>
        <v>41.37931034482759</v>
      </c>
      <c r="AH78" s="10">
        <f>IF(W78&gt;0,(Q78-T78*E78)/W78,D78-E78)</f>
        <v>5000</v>
      </c>
      <c r="AI78" s="10">
        <f>IF(AH78&gt;0,(Hedef!$C$5+6*F78+G78)/AH78,0)</f>
        <v>29.2</v>
      </c>
      <c r="AJ78" s="10">
        <f>IF(AI78&gt;0,AI78/Z78,0)</f>
        <v>292</v>
      </c>
      <c r="AK78" s="10">
        <f>IF(AI78&gt;0,AI78/Y78,0)</f>
        <v>1460</v>
      </c>
      <c r="AL78" s="10">
        <f>G78+F78*L78/30</f>
        <v>2000</v>
      </c>
      <c r="AM78" s="7" t="str">
        <f>IF(AB78&gt;=Hedef!$C$5,"evet","hayır")</f>
        <v>hayır</v>
      </c>
      <c r="AN78" s="7" t="str">
        <f>IF(AG78&gt;=Hedef!$C$8,"evet","hayır")</f>
        <v>hayır</v>
      </c>
      <c r="AO78" s="7" t="str">
        <f>IF(AE78&lt;=Hedef!$C$14,"evet","hayır")</f>
        <v>evet</v>
      </c>
      <c r="AP78" s="10">
        <f>AB78/Hedef!$C$4</f>
        <v>62.5</v>
      </c>
    </row>
    <row r="79">
      <c r="A79" s="7" t="str">
        <f>Secenekler!A79</f>
        <v>karar-sihirbazi-a</v>
      </c>
      <c r="B79" s="7" t="str">
        <f>Secenekler!C79</f>
        <v>Ajanslara white-label keşif sihirbazı aboneliği</v>
      </c>
      <c r="C79" s="17" t="inlineStr">
        <is>
          <t>aylık abonelik</t>
        </is>
      </c>
      <c r="D79" s="15" t="n">
        <v>790</v>
      </c>
      <c r="E79" s="15" t="n">
        <v>40</v>
      </c>
      <c r="F79" s="15" t="n">
        <v>8700</v>
      </c>
      <c r="G79" s="15" t="n">
        <v>14000</v>
      </c>
      <c r="H79" s="15" t="n">
        <v>200</v>
      </c>
      <c r="I79" s="15" t="n">
        <v>320</v>
      </c>
      <c r="J79" s="15" t="n">
        <v>420</v>
      </c>
      <c r="K79" s="15" t="n">
        <v>90</v>
      </c>
      <c r="L79" s="15" t="n">
        <v>180</v>
      </c>
      <c r="M79" s="15" t="n">
        <v>10</v>
      </c>
      <c r="N79" s="15" t="n">
        <v>0.5</v>
      </c>
      <c r="O79" s="15" t="n">
        <v>20</v>
      </c>
      <c r="P79" s="15" t="n">
        <v>980</v>
      </c>
      <c r="Q79" s="15" t="n">
        <v>10500</v>
      </c>
      <c r="R79" s="15" t="n">
        <v>20600</v>
      </c>
      <c r="S79" s="15" t="n">
        <v>2</v>
      </c>
      <c r="T79" s="15" t="n">
        <v>11</v>
      </c>
      <c r="U79" s="15" t="n">
        <v>20</v>
      </c>
      <c r="V79" s="15" t="n">
        <v>1</v>
      </c>
      <c r="W79" s="15" t="n">
        <v>3</v>
      </c>
      <c r="X79" s="15" t="n">
        <v>5</v>
      </c>
      <c r="Y79" s="21" t="n">
        <v>0.06</v>
      </c>
      <c r="Z79" s="21" t="n">
        <v>0.2</v>
      </c>
      <c r="AA79" s="10">
        <f>P79-S79*E79-6*F79-G79</f>
        <v>-65300</v>
      </c>
      <c r="AB79" s="10">
        <f>Q79-T79*E79-6*F79-G79</f>
        <v>-56140</v>
      </c>
      <c r="AC79" s="10">
        <f>R79-U79*E79-6*F79-G79</f>
        <v>-46400</v>
      </c>
      <c r="AD79" s="10">
        <f>J79+V79*M79+S79*(N79+O79/60)</f>
        <v>431.6666666666667</v>
      </c>
      <c r="AE79" s="10">
        <f>I79+W79*M79+T79*(N79+O79/60)</f>
        <v>359.1666666666667</v>
      </c>
      <c r="AF79" s="10">
        <f>H79+X79*M79+U79*(N79+O79/60)</f>
        <v>266.6666666666667</v>
      </c>
      <c r="AG79" s="10">
        <f>IF(AE79&gt;0,AB79/AE79,0)</f>
        <v>-156.3062645011601</v>
      </c>
      <c r="AH79" s="10">
        <f>IF(W79&gt;0,(Q79-T79*E79)/W79,D79-E79)</f>
        <v>3353.333333333333</v>
      </c>
      <c r="AI79" s="10">
        <f>IF(AH79&gt;0,(Hedef!$C$5+6*F79+G79)/AH79,0)</f>
        <v>62.68389662027833</v>
      </c>
      <c r="AJ79" s="10">
        <f>IF(AI79&gt;0,AI79/Z79,0)</f>
        <v>313.4194831013916</v>
      </c>
      <c r="AK79" s="10">
        <f>IF(AI79&gt;0,AI79/Y79,0)</f>
        <v>1044.731610337972</v>
      </c>
      <c r="AL79" s="10">
        <f>G79+F79*L79/30</f>
        <v>66200</v>
      </c>
      <c r="AM79" s="7" t="str">
        <f>IF(AB79&gt;=Hedef!$C$5,"evet","hayır")</f>
        <v>hayır</v>
      </c>
      <c r="AN79" s="7" t="str">
        <f>IF(AG79&gt;=Hedef!$C$8,"evet","hayır")</f>
        <v>hayır</v>
      </c>
      <c r="AO79" s="7" t="str">
        <f>IF(AE79&lt;=Hedef!$C$14,"evet","hayır")</f>
        <v>evet</v>
      </c>
      <c r="AP79" s="10">
        <f>AB79/Hedef!$C$4</f>
        <v>-1169.583333333333</v>
      </c>
    </row>
    <row r="80">
      <c r="A80" s="7" t="str">
        <f>Secenekler!A80</f>
        <v>karar-sihirbazi-b</v>
      </c>
      <c r="B80" s="7" t="str">
        <f>Secenekler!C80</f>
        <v>Proje başı stack karar dosyası (sabit kapsamlı hizmet)</v>
      </c>
      <c r="C80" s="17" t="inlineStr">
        <is>
          <t>proje</t>
        </is>
      </c>
      <c r="D80" s="15" t="n">
        <v>6000</v>
      </c>
      <c r="E80" s="15" t="n">
        <v>300</v>
      </c>
      <c r="F80" s="15" t="n">
        <v>1900</v>
      </c>
      <c r="G80" s="15" t="n">
        <v>4000</v>
      </c>
      <c r="H80" s="15" t="n">
        <v>15</v>
      </c>
      <c r="I80" s="15" t="n">
        <v>30</v>
      </c>
      <c r="J80" s="15" t="n">
        <v>50</v>
      </c>
      <c r="K80" s="15" t="n">
        <v>14</v>
      </c>
      <c r="L80" s="15" t="n">
        <v>45</v>
      </c>
      <c r="M80" s="15" t="n">
        <v>14</v>
      </c>
      <c r="N80" s="15" t="n">
        <v>8</v>
      </c>
      <c r="O80" s="15" t="n">
        <v>15</v>
      </c>
      <c r="P80" s="15" t="n">
        <v>0</v>
      </c>
      <c r="Q80" s="15" t="n">
        <v>12000</v>
      </c>
      <c r="R80" s="15" t="n">
        <v>24000</v>
      </c>
      <c r="S80" s="15" t="n">
        <v>0</v>
      </c>
      <c r="T80" s="15" t="n">
        <v>2</v>
      </c>
      <c r="U80" s="15" t="n">
        <v>4</v>
      </c>
      <c r="V80" s="15" t="n">
        <v>0</v>
      </c>
      <c r="W80" s="15" t="n">
        <v>2</v>
      </c>
      <c r="X80" s="15" t="n">
        <v>4</v>
      </c>
      <c r="Y80" s="21" t="n">
        <v>0.05</v>
      </c>
      <c r="Z80" s="21" t="n">
        <v>0.2</v>
      </c>
      <c r="AA80" s="10">
        <f>P80-S80*E80-6*F80-G80</f>
        <v>-15400</v>
      </c>
      <c r="AB80" s="10">
        <f>Q80-T80*E80-6*F80-G80</f>
        <v>-4000</v>
      </c>
      <c r="AC80" s="10">
        <f>R80-U80*E80-6*F80-G80</f>
        <v>7400</v>
      </c>
      <c r="AD80" s="10">
        <f>J80+V80*M80+S80*(N80+O80/60)</f>
        <v>50</v>
      </c>
      <c r="AE80" s="10">
        <f>I80+W80*M80+T80*(N80+O80/60)</f>
        <v>74.5</v>
      </c>
      <c r="AF80" s="10">
        <f>H80+X80*M80+U80*(N80+O80/60)</f>
        <v>104</v>
      </c>
      <c r="AG80" s="10">
        <f>IF(AE80&gt;0,AB80/AE80,0)</f>
        <v>-53.69127516778524</v>
      </c>
      <c r="AH80" s="10">
        <f>IF(W80&gt;0,(Q80-T80*E80)/W80,D80-E80)</f>
        <v>5700</v>
      </c>
      <c r="AI80" s="10">
        <f>IF(AH80&gt;0,(Hedef!$C$5+6*F80+G80)/AH80,0)</f>
        <v>27.96491228070175</v>
      </c>
      <c r="AJ80" s="10">
        <f>IF(AI80&gt;0,AI80/Z80,0)</f>
        <v>139.8245614035088</v>
      </c>
      <c r="AK80" s="10">
        <f>IF(AI80&gt;0,AI80/Y80,0)</f>
        <v>559.2982456140351</v>
      </c>
      <c r="AL80" s="10">
        <f>G80+F80*L80/30</f>
        <v>6850</v>
      </c>
      <c r="AM80" s="7" t="str">
        <f>IF(AB80&gt;=Hedef!$C$5,"evet","hayır")</f>
        <v>hayır</v>
      </c>
      <c r="AN80" s="7" t="str">
        <f>IF(AG80&gt;=Hedef!$C$8,"evet","hayır")</f>
        <v>hayır</v>
      </c>
      <c r="AO80" s="7" t="str">
        <f>IF(AE80&lt;=Hedef!$C$14,"evet","hayır")</f>
        <v>evet</v>
      </c>
      <c r="AP80" s="10">
        <f>AB80/Hedef!$C$4</f>
        <v>-83.33333333333333</v>
      </c>
    </row>
    <row r="81">
      <c r="A81" s="7" t="str">
        <f>Secenekler!A81</f>
        <v>karar-sihirbazi-c</v>
      </c>
      <c r="B81" s="7" t="str">
        <f>Secenekler!C81</f>
        <v>Ajans için uyarlanmış keşif formu kiti (tek seferlik)</v>
      </c>
      <c r="C81" s="17" t="inlineStr">
        <is>
          <t>tek seferlik</t>
        </is>
      </c>
      <c r="D81" s="15" t="n">
        <v>5000</v>
      </c>
      <c r="E81" s="15" t="n">
        <v>200</v>
      </c>
      <c r="F81" s="15" t="n">
        <v>1000</v>
      </c>
      <c r="G81" s="15" t="n">
        <v>3600</v>
      </c>
      <c r="H81" s="15" t="n">
        <v>90</v>
      </c>
      <c r="I81" s="15" t="n">
        <v>137</v>
      </c>
      <c r="J81" s="15" t="n">
        <v>190</v>
      </c>
      <c r="K81" s="15" t="n">
        <v>45</v>
      </c>
      <c r="L81" s="15" t="n">
        <v>100</v>
      </c>
      <c r="M81" s="15" t="n">
        <v>10</v>
      </c>
      <c r="N81" s="15" t="n">
        <v>8</v>
      </c>
      <c r="O81" s="15" t="n">
        <v>30</v>
      </c>
      <c r="P81" s="15" t="n">
        <v>0</v>
      </c>
      <c r="Q81" s="15" t="n">
        <v>5000</v>
      </c>
      <c r="R81" s="15" t="n">
        <v>15000</v>
      </c>
      <c r="S81" s="15" t="n">
        <v>0</v>
      </c>
      <c r="T81" s="15" t="n">
        <v>1</v>
      </c>
      <c r="U81" s="15" t="n">
        <v>3</v>
      </c>
      <c r="V81" s="15" t="n">
        <v>0</v>
      </c>
      <c r="W81" s="15" t="n">
        <v>1</v>
      </c>
      <c r="X81" s="15" t="n">
        <v>3</v>
      </c>
      <c r="Y81" s="21" t="n">
        <v>0.03</v>
      </c>
      <c r="Z81" s="21" t="n">
        <v>0.12</v>
      </c>
      <c r="AA81" s="10">
        <f>P81-S81*E81-6*F81-G81</f>
        <v>-9600</v>
      </c>
      <c r="AB81" s="10">
        <f>Q81-T81*E81-6*F81-G81</f>
        <v>-4800</v>
      </c>
      <c r="AC81" s="10">
        <f>R81-U81*E81-6*F81-G81</f>
        <v>4800</v>
      </c>
      <c r="AD81" s="10">
        <f>J81+V81*M81+S81*(N81+O81/60)</f>
        <v>190</v>
      </c>
      <c r="AE81" s="10">
        <f>I81+W81*M81+T81*(N81+O81/60)</f>
        <v>155.5</v>
      </c>
      <c r="AF81" s="10">
        <f>H81+X81*M81+U81*(N81+O81/60)</f>
        <v>145.5</v>
      </c>
      <c r="AG81" s="10">
        <f>IF(AE81&gt;0,AB81/AE81,0)</f>
        <v>-30.86816720257235</v>
      </c>
      <c r="AH81" s="10">
        <f>IF(W81&gt;0,(Q81-T81*E81)/W81,D81-E81)</f>
        <v>4800</v>
      </c>
      <c r="AI81" s="10">
        <f>IF(AH81&gt;0,(Hedef!$C$5+6*F81+G81)/AH81,0)</f>
        <v>32</v>
      </c>
      <c r="AJ81" s="10">
        <f>IF(AI81&gt;0,AI81/Z81,0)</f>
        <v>266.6666666666667</v>
      </c>
      <c r="AK81" s="10">
        <f>IF(AI81&gt;0,AI81/Y81,0)</f>
        <v>1066.666666666667</v>
      </c>
      <c r="AL81" s="10">
        <f>G81+F81*L81/30</f>
        <v>6933.333333333334</v>
      </c>
      <c r="AM81" s="7" t="str">
        <f>IF(AB81&gt;=Hedef!$C$5,"evet","hayır")</f>
        <v>hayır</v>
      </c>
      <c r="AN81" s="7" t="str">
        <f>IF(AG81&gt;=Hedef!$C$8,"evet","hayır")</f>
        <v>hayır</v>
      </c>
      <c r="AO81" s="7" t="str">
        <f>IF(AE81&lt;=Hedef!$C$14,"evet","hayır")</f>
        <v>evet</v>
      </c>
      <c r="AP81" s="10">
        <f>AB81/Hedef!$C$4</f>
        <v>-100</v>
      </c>
    </row>
    <row r="82">
      <c r="A82" s="7" t="str">
        <f>Secenekler!A82</f>
        <v>sunum-bi-hizmeti-a</v>
      </c>
      <c r="B82" s="7" t="str">
        <f>Secenekler!C82</f>
        <v>Katalogdan toplu markalı sunum seti (sabit paket)</v>
      </c>
      <c r="C82" s="17" t="inlineStr">
        <is>
          <t>tek seferlik</t>
        </is>
      </c>
      <c r="D82" s="15" t="n">
        <v>15000</v>
      </c>
      <c r="E82" s="15" t="n">
        <v>1500</v>
      </c>
      <c r="F82" s="15" t="n">
        <v>500</v>
      </c>
      <c r="G82" s="15" t="n">
        <v>7000</v>
      </c>
      <c r="H82" s="15" t="n">
        <v>90</v>
      </c>
      <c r="I82" s="15" t="n">
        <v>120</v>
      </c>
      <c r="J82" s="15" t="n">
        <v>160</v>
      </c>
      <c r="K82" s="15" t="n">
        <v>42</v>
      </c>
      <c r="L82" s="15" t="n">
        <v>75</v>
      </c>
      <c r="M82" s="15" t="n">
        <v>14</v>
      </c>
      <c r="N82" s="15" t="n">
        <v>20</v>
      </c>
      <c r="O82" s="15" t="n">
        <v>30</v>
      </c>
      <c r="P82" s="15" t="n">
        <v>0</v>
      </c>
      <c r="Q82" s="15" t="n">
        <v>33000</v>
      </c>
      <c r="R82" s="15" t="n">
        <v>93000</v>
      </c>
      <c r="S82" s="15" t="n">
        <v>0</v>
      </c>
      <c r="T82" s="15" t="n">
        <v>3</v>
      </c>
      <c r="U82" s="15" t="n">
        <v>7</v>
      </c>
      <c r="V82" s="15" t="n">
        <v>0</v>
      </c>
      <c r="W82" s="15" t="n">
        <v>2</v>
      </c>
      <c r="X82" s="15" t="n">
        <v>6</v>
      </c>
      <c r="Y82" s="21" t="n">
        <v>0.1</v>
      </c>
      <c r="Z82" s="21" t="n">
        <v>0.3</v>
      </c>
      <c r="AA82" s="10">
        <f>P82-S82*E82-6*F82-G82</f>
        <v>-10000</v>
      </c>
      <c r="AB82" s="10">
        <f>Q82-T82*E82-6*F82-G82</f>
        <v>18500</v>
      </c>
      <c r="AC82" s="10">
        <f>R82-U82*E82-6*F82-G82</f>
        <v>72500</v>
      </c>
      <c r="AD82" s="10">
        <f>J82+V82*M82+S82*(N82+O82/60)</f>
        <v>160</v>
      </c>
      <c r="AE82" s="10">
        <f>I82+W82*M82+T82*(N82+O82/60)</f>
        <v>209.5</v>
      </c>
      <c r="AF82" s="10">
        <f>H82+X82*M82+U82*(N82+O82/60)</f>
        <v>317.5</v>
      </c>
      <c r="AG82" s="10">
        <f>IF(AE82&gt;0,AB82/AE82,0)</f>
        <v>88.3054892601432</v>
      </c>
      <c r="AH82" s="10">
        <f>IF(W82&gt;0,(Q82-T82*E82)/W82,D82-E82)</f>
        <v>14250</v>
      </c>
      <c r="AI82" s="10">
        <f>IF(AH82&gt;0,(Hedef!$C$5+6*F82+G82)/AH82,0)</f>
        <v>10.80701754385965</v>
      </c>
      <c r="AJ82" s="10">
        <f>IF(AI82&gt;0,AI82/Z82,0)</f>
        <v>36.0233918128655</v>
      </c>
      <c r="AK82" s="10">
        <f>IF(AI82&gt;0,AI82/Y82,0)</f>
        <v>108.0701754385965</v>
      </c>
      <c r="AL82" s="10">
        <f>G82+F82*L82/30</f>
        <v>8250</v>
      </c>
      <c r="AM82" s="7" t="str">
        <f>IF(AB82&gt;=Hedef!$C$5,"evet","hayır")</f>
        <v>hayır</v>
      </c>
      <c r="AN82" s="7" t="str">
        <f>IF(AG82&gt;=Hedef!$C$8,"evet","hayır")</f>
        <v>hayır</v>
      </c>
      <c r="AO82" s="7" t="str">
        <f>IF(AE82&lt;=Hedef!$C$14,"evet","hayır")</f>
        <v>evet</v>
      </c>
      <c r="AP82" s="10">
        <f>AB82/Hedef!$C$4</f>
        <v>385.4166666666667</v>
      </c>
    </row>
    <row r="83">
      <c r="A83" s="7" t="str">
        <f>Secenekler!A83</f>
        <v>sunum-bi-hizmeti-b</v>
      </c>
      <c r="B83" s="7" t="str">
        <f>Secenekler!C83</f>
        <v>Butik ajanslara çok markalı sunum üretim aboneliği</v>
      </c>
      <c r="C83" s="17" t="inlineStr">
        <is>
          <t>karma</t>
        </is>
      </c>
      <c r="D83" s="15" t="n">
        <v>2500</v>
      </c>
      <c r="E83" s="15" t="n">
        <v>300</v>
      </c>
      <c r="F83" s="15" t="n">
        <v>500</v>
      </c>
      <c r="G83" s="15" t="n">
        <v>7000</v>
      </c>
      <c r="H83" s="15" t="n">
        <v>90</v>
      </c>
      <c r="I83" s="15" t="n">
        <v>130</v>
      </c>
      <c r="J83" s="15" t="n">
        <v>180</v>
      </c>
      <c r="K83" s="15" t="n">
        <v>45</v>
      </c>
      <c r="L83" s="15" t="n">
        <v>100</v>
      </c>
      <c r="M83" s="15" t="n">
        <v>16</v>
      </c>
      <c r="N83" s="15" t="n">
        <v>32</v>
      </c>
      <c r="O83" s="15" t="n">
        <v>60</v>
      </c>
      <c r="P83" s="15" t="n">
        <v>0</v>
      </c>
      <c r="Q83" s="15" t="n">
        <v>8000</v>
      </c>
      <c r="R83" s="15" t="n">
        <v>16000</v>
      </c>
      <c r="S83" s="15" t="n">
        <v>0</v>
      </c>
      <c r="T83" s="15" t="n">
        <v>1</v>
      </c>
      <c r="U83" s="15" t="n">
        <v>2</v>
      </c>
      <c r="V83" s="15" t="n">
        <v>0</v>
      </c>
      <c r="W83" s="15" t="n">
        <v>1</v>
      </c>
      <c r="X83" s="15" t="n">
        <v>2</v>
      </c>
      <c r="Y83" s="21" t="n">
        <v>0.03</v>
      </c>
      <c r="Z83" s="21" t="n">
        <v>0.1</v>
      </c>
      <c r="AA83" s="10">
        <f>P83-S83*E83-6*F83-G83</f>
        <v>-10000</v>
      </c>
      <c r="AB83" s="10">
        <f>Q83-T83*E83-6*F83-G83</f>
        <v>-2300</v>
      </c>
      <c r="AC83" s="10">
        <f>R83-U83*E83-6*F83-G83</f>
        <v>5400</v>
      </c>
      <c r="AD83" s="10">
        <f>J83+V83*M83+S83*(N83+O83/60)</f>
        <v>180</v>
      </c>
      <c r="AE83" s="10">
        <f>I83+W83*M83+T83*(N83+O83/60)</f>
        <v>179</v>
      </c>
      <c r="AF83" s="10">
        <f>H83+X83*M83+U83*(N83+O83/60)</f>
        <v>188</v>
      </c>
      <c r="AG83" s="10">
        <f>IF(AE83&gt;0,AB83/AE83,0)</f>
        <v>-12.84916201117318</v>
      </c>
      <c r="AH83" s="10">
        <f>IF(W83&gt;0,(Q83-T83*E83)/W83,D83-E83)</f>
        <v>7700</v>
      </c>
      <c r="AI83" s="10">
        <f>IF(AH83&gt;0,(Hedef!$C$5+6*F83+G83)/AH83,0)</f>
        <v>20</v>
      </c>
      <c r="AJ83" s="10">
        <f>IF(AI83&gt;0,AI83/Z83,0)</f>
        <v>200</v>
      </c>
      <c r="AK83" s="10">
        <f>IF(AI83&gt;0,AI83/Y83,0)</f>
        <v>666.6666666666667</v>
      </c>
      <c r="AL83" s="10">
        <f>G83+F83*L83/30</f>
        <v>8666.666666666666</v>
      </c>
      <c r="AM83" s="7" t="str">
        <f>IF(AB83&gt;=Hedef!$C$5,"evet","hayır")</f>
        <v>hayır</v>
      </c>
      <c r="AN83" s="7" t="str">
        <f>IF(AG83&gt;=Hedef!$C$8,"evet","hayır")</f>
        <v>hayır</v>
      </c>
      <c r="AO83" s="7" t="str">
        <f>IF(AE83&lt;=Hedef!$C$14,"evet","hayır")</f>
        <v>evet</v>
      </c>
      <c r="AP83" s="10">
        <f>AB83/Hedef!$C$4</f>
        <v>-47.91666666666666</v>
      </c>
    </row>
    <row r="84">
      <c r="A84" s="7" t="str">
        <f>Secenekler!A84</f>
        <v>sunum-bi-hizmeti-c</v>
      </c>
      <c r="B84" s="7" t="str">
        <f>Secenekler!C84</f>
        <v>Danışmana tek kaynaktan yönetici karar dosyası üretimi</v>
      </c>
      <c r="C84" s="17" t="inlineStr">
        <is>
          <t>tek seferlik</t>
        </is>
      </c>
      <c r="D84" s="15" t="n">
        <v>8000</v>
      </c>
      <c r="E84" s="15" t="n">
        <v>500</v>
      </c>
      <c r="F84" s="15" t="n">
        <v>300</v>
      </c>
      <c r="G84" s="15" t="n">
        <v>3000</v>
      </c>
      <c r="H84" s="15" t="n">
        <v>30</v>
      </c>
      <c r="I84" s="15" t="n">
        <v>50</v>
      </c>
      <c r="J84" s="15" t="n">
        <v>80</v>
      </c>
      <c r="K84" s="15" t="n">
        <v>35</v>
      </c>
      <c r="L84" s="15" t="n">
        <v>60</v>
      </c>
      <c r="M84" s="15" t="n">
        <v>12</v>
      </c>
      <c r="N84" s="15" t="n">
        <v>8</v>
      </c>
      <c r="O84" s="15" t="n">
        <v>20</v>
      </c>
      <c r="P84" s="15" t="n">
        <v>0</v>
      </c>
      <c r="Q84" s="15" t="n">
        <v>16000</v>
      </c>
      <c r="R84" s="15" t="n">
        <v>35000</v>
      </c>
      <c r="S84" s="15" t="n">
        <v>0</v>
      </c>
      <c r="T84" s="15" t="n">
        <v>2</v>
      </c>
      <c r="U84" s="15" t="n">
        <v>5</v>
      </c>
      <c r="V84" s="15" t="n">
        <v>0</v>
      </c>
      <c r="W84" s="15" t="n">
        <v>2</v>
      </c>
      <c r="X84" s="15" t="n">
        <v>4</v>
      </c>
      <c r="Y84" s="21" t="n">
        <v>0.05</v>
      </c>
      <c r="Z84" s="21" t="n">
        <v>0.1</v>
      </c>
      <c r="AA84" s="10">
        <f>P84-S84*E84-6*F84-G84</f>
        <v>-4800</v>
      </c>
      <c r="AB84" s="10">
        <f>Q84-T84*E84-6*F84-G84</f>
        <v>10200</v>
      </c>
      <c r="AC84" s="10">
        <f>R84-U84*E84-6*F84-G84</f>
        <v>27700</v>
      </c>
      <c r="AD84" s="10">
        <f>J84+V84*M84+S84*(N84+O84/60)</f>
        <v>80</v>
      </c>
      <c r="AE84" s="10">
        <f>I84+W84*M84+T84*(N84+O84/60)</f>
        <v>90.66666666666667</v>
      </c>
      <c r="AF84" s="10">
        <f>H84+X84*M84+U84*(N84+O84/60)</f>
        <v>119.6666666666667</v>
      </c>
      <c r="AG84" s="10">
        <f>IF(AE84&gt;0,AB84/AE84,0)</f>
        <v>112.5</v>
      </c>
      <c r="AH84" s="10">
        <f>IF(W84&gt;0,(Q84-T84*E84)/W84,D84-E84)</f>
        <v>7500</v>
      </c>
      <c r="AI84" s="10">
        <f>IF(AH84&gt;0,(Hedef!$C$5+6*F84+G84)/AH84,0)</f>
        <v>19.84</v>
      </c>
      <c r="AJ84" s="10">
        <f>IF(AI84&gt;0,AI84/Z84,0)</f>
        <v>198.4</v>
      </c>
      <c r="AK84" s="10">
        <f>IF(AI84&gt;0,AI84/Y84,0)</f>
        <v>396.8</v>
      </c>
      <c r="AL84" s="10">
        <f>G84+F84*L84/30</f>
        <v>3600</v>
      </c>
      <c r="AM84" s="7" t="str">
        <f>IF(AB84&gt;=Hedef!$C$5,"evet","hayır")</f>
        <v>hayır</v>
      </c>
      <c r="AN84" s="7" t="str">
        <f>IF(AG84&gt;=Hedef!$C$8,"evet","hayır")</f>
        <v>hayır</v>
      </c>
      <c r="AO84" s="7" t="str">
        <f>IF(AE84&lt;=Hedef!$C$14,"evet","hayır")</f>
        <v>evet</v>
      </c>
      <c r="AP84" s="10">
        <f>AB84/Hedef!$C$4</f>
        <v>212.5</v>
      </c>
    </row>
    <row r="85">
      <c r="A85" s="7" t="str">
        <f>Secenekler!A85</f>
        <v>ik-paneli-hizmeti-a</v>
      </c>
      <c r="B85" s="7" t="str">
        <f>Secenekler!C85</f>
        <v>SaaS satış demosu 7 günde (sabit paket)</v>
      </c>
      <c r="C85" s="17" t="inlineStr">
        <is>
          <t>proje</t>
        </is>
      </c>
      <c r="D85" s="15" t="n">
        <v>90000</v>
      </c>
      <c r="E85" s="15" t="n">
        <v>3000</v>
      </c>
      <c r="F85" s="15" t="n">
        <v>11000</v>
      </c>
      <c r="G85" s="15" t="n">
        <v>12000</v>
      </c>
      <c r="H85" s="15" t="n">
        <v>100</v>
      </c>
      <c r="I85" s="15" t="n">
        <v>150</v>
      </c>
      <c r="J85" s="15" t="n">
        <v>190</v>
      </c>
      <c r="K85" s="15" t="n">
        <v>60</v>
      </c>
      <c r="L85" s="15" t="n">
        <v>120</v>
      </c>
      <c r="M85" s="15" t="n">
        <v>8</v>
      </c>
      <c r="N85" s="15" t="n">
        <v>40</v>
      </c>
      <c r="O85" s="15" t="n">
        <v>20</v>
      </c>
      <c r="P85" s="15" t="n">
        <v>0</v>
      </c>
      <c r="Q85" s="15" t="n">
        <v>135000</v>
      </c>
      <c r="R85" s="15" t="n">
        <v>270000</v>
      </c>
      <c r="S85" s="15" t="n">
        <v>0</v>
      </c>
      <c r="T85" s="15" t="n">
        <v>2</v>
      </c>
      <c r="U85" s="15" t="n">
        <v>3</v>
      </c>
      <c r="V85" s="15" t="n">
        <v>0</v>
      </c>
      <c r="W85" s="15" t="n">
        <v>2</v>
      </c>
      <c r="X85" s="15" t="n">
        <v>3</v>
      </c>
      <c r="Y85" s="21" t="n">
        <v>0.1</v>
      </c>
      <c r="Z85" s="21" t="n">
        <v>0.2</v>
      </c>
      <c r="AA85" s="10">
        <f>P85-S85*E85-6*F85-G85</f>
        <v>-78000</v>
      </c>
      <c r="AB85" s="10">
        <f>Q85-T85*E85-6*F85-G85</f>
        <v>51000</v>
      </c>
      <c r="AC85" s="10">
        <f>R85-U85*E85-6*F85-G85</f>
        <v>183000</v>
      </c>
      <c r="AD85" s="10">
        <f>J85+V85*M85+S85*(N85+O85/60)</f>
        <v>190</v>
      </c>
      <c r="AE85" s="10">
        <f>I85+W85*M85+T85*(N85+O85/60)</f>
        <v>246.6666666666667</v>
      </c>
      <c r="AF85" s="10">
        <f>H85+X85*M85+U85*(N85+O85/60)</f>
        <v>245</v>
      </c>
      <c r="AG85" s="10">
        <f>IF(AE85&gt;0,AB85/AE85,0)</f>
        <v>206.7567567567567</v>
      </c>
      <c r="AH85" s="10">
        <f>IF(W85&gt;0,(Q85-T85*E85)/W85,D85-E85)</f>
        <v>64500</v>
      </c>
      <c r="AI85" s="10">
        <f>IF(AH85&gt;0,(Hedef!$C$5+6*F85+G85)/AH85,0)</f>
        <v>3.441860465116279</v>
      </c>
      <c r="AJ85" s="10">
        <f>IF(AI85&gt;0,AI85/Z85,0)</f>
        <v>17.20930232558139</v>
      </c>
      <c r="AK85" s="10">
        <f>IF(AI85&gt;0,AI85/Y85,0)</f>
        <v>34.41860465116279</v>
      </c>
      <c r="AL85" s="10">
        <f>G85+F85*L85/30</f>
        <v>56000</v>
      </c>
      <c r="AM85" s="7" t="str">
        <f>IF(AB85&gt;=Hedef!$C$5,"evet","hayır")</f>
        <v>hayır</v>
      </c>
      <c r="AN85" s="7" t="str">
        <f>IF(AG85&gt;=Hedef!$C$8,"evet","hayır")</f>
        <v>hayır</v>
      </c>
      <c r="AO85" s="7" t="str">
        <f>IF(AE85&lt;=Hedef!$C$14,"evet","hayır")</f>
        <v>evet</v>
      </c>
      <c r="AP85" s="10">
        <f>AB85/Hedef!$C$4</f>
        <v>1062.5</v>
      </c>
    </row>
    <row r="86">
      <c r="A86" s="7" t="str">
        <f>Secenekler!A86</f>
        <v>ik-paneli-hizmeti-b</v>
      </c>
      <c r="B86" s="7" t="str">
        <f>Secenekler!C86</f>
        <v>Ajanslara beyaz etiket aylık demo paketi</v>
      </c>
      <c r="C86" s="17" t="inlineStr">
        <is>
          <t>karma</t>
        </is>
      </c>
      <c r="D86" s="15" t="n">
        <v>36000</v>
      </c>
      <c r="E86" s="15" t="n">
        <v>2500</v>
      </c>
      <c r="F86" s="15" t="n">
        <v>11000</v>
      </c>
      <c r="G86" s="15" t="n">
        <v>12000</v>
      </c>
      <c r="H86" s="15" t="n">
        <v>100</v>
      </c>
      <c r="I86" s="15" t="n">
        <v>150</v>
      </c>
      <c r="J86" s="15" t="n">
        <v>190</v>
      </c>
      <c r="K86" s="15" t="n">
        <v>60</v>
      </c>
      <c r="L86" s="15" t="n">
        <v>120</v>
      </c>
      <c r="M86" s="15" t="n">
        <v>6</v>
      </c>
      <c r="N86" s="15" t="n">
        <v>24</v>
      </c>
      <c r="O86" s="15" t="n">
        <v>30</v>
      </c>
      <c r="P86" s="15" t="n">
        <v>0</v>
      </c>
      <c r="Q86" s="15" t="n">
        <v>36000</v>
      </c>
      <c r="R86" s="15" t="n">
        <v>180000</v>
      </c>
      <c r="S86" s="15" t="n">
        <v>0</v>
      </c>
      <c r="T86" s="15" t="n">
        <v>1</v>
      </c>
      <c r="U86" s="15" t="n">
        <v>5</v>
      </c>
      <c r="V86" s="15" t="n">
        <v>0</v>
      </c>
      <c r="W86" s="15" t="n">
        <v>1</v>
      </c>
      <c r="X86" s="15" t="n">
        <v>2</v>
      </c>
      <c r="Y86" s="21" t="n">
        <v>0.1</v>
      </c>
      <c r="Z86" s="21" t="n">
        <v>0.3</v>
      </c>
      <c r="AA86" s="10">
        <f>P86-S86*E86-6*F86-G86</f>
        <v>-78000</v>
      </c>
      <c r="AB86" s="10">
        <f>Q86-T86*E86-6*F86-G86</f>
        <v>-44500</v>
      </c>
      <c r="AC86" s="10">
        <f>R86-U86*E86-6*F86-G86</f>
        <v>89500</v>
      </c>
      <c r="AD86" s="10">
        <f>J86+V86*M86+S86*(N86+O86/60)</f>
        <v>190</v>
      </c>
      <c r="AE86" s="10">
        <f>I86+W86*M86+T86*(N86+O86/60)</f>
        <v>180.5</v>
      </c>
      <c r="AF86" s="10">
        <f>H86+X86*M86+U86*(N86+O86/60)</f>
        <v>234.5</v>
      </c>
      <c r="AG86" s="10">
        <f>IF(AE86&gt;0,AB86/AE86,0)</f>
        <v>-246.5373961218837</v>
      </c>
      <c r="AH86" s="10">
        <f>IF(W86&gt;0,(Q86-T86*E86)/W86,D86-E86)</f>
        <v>33500</v>
      </c>
      <c r="AI86" s="10">
        <f>IF(AH86&gt;0,(Hedef!$C$5+6*F86+G86)/AH86,0)</f>
        <v>6.626865671641791</v>
      </c>
      <c r="AJ86" s="10">
        <f>IF(AI86&gt;0,AI86/Z86,0)</f>
        <v>22.08955223880597</v>
      </c>
      <c r="AK86" s="10">
        <f>IF(AI86&gt;0,AI86/Y86,0)</f>
        <v>66.26865671641791</v>
      </c>
      <c r="AL86" s="10">
        <f>G86+F86*L86/30</f>
        <v>56000</v>
      </c>
      <c r="AM86" s="7" t="str">
        <f>IF(AB86&gt;=Hedef!$C$5,"evet","hayır")</f>
        <v>hayır</v>
      </c>
      <c r="AN86" s="7" t="str">
        <f>IF(AG86&gt;=Hedef!$C$8,"evet","hayır")</f>
        <v>hayır</v>
      </c>
      <c r="AO86" s="7" t="str">
        <f>IF(AE86&lt;=Hedef!$C$14,"evet","hayır")</f>
        <v>evet</v>
      </c>
      <c r="AP86" s="10">
        <f>AB86/Hedef!$C$4</f>
        <v>-927.0833333333334</v>
      </c>
    </row>
    <row r="87">
      <c r="A87" s="7" t="str">
        <f>Secenekler!A87</f>
        <v>ik-paneli-hizmeti-c</v>
      </c>
      <c r="B87" s="7" t="str">
        <f>Secenekler!C87</f>
        <v>Puantaj mutabakatı kurulum ve dönem hizmeti</v>
      </c>
      <c r="C87" s="17" t="inlineStr">
        <is>
          <t>karma</t>
        </is>
      </c>
      <c r="D87" s="15" t="n">
        <v>4000</v>
      </c>
      <c r="E87" s="15" t="n">
        <v>1220</v>
      </c>
      <c r="F87" s="15" t="n">
        <v>2000</v>
      </c>
      <c r="G87" s="15" t="n">
        <v>25000</v>
      </c>
      <c r="H87" s="15" t="n">
        <v>120</v>
      </c>
      <c r="I87" s="15" t="n">
        <v>240</v>
      </c>
      <c r="J87" s="15" t="n">
        <v>400</v>
      </c>
      <c r="K87" s="15" t="n">
        <v>120</v>
      </c>
      <c r="L87" s="15" t="n">
        <v>210</v>
      </c>
      <c r="M87" s="15" t="n">
        <v>25</v>
      </c>
      <c r="N87" s="15" t="n">
        <v>6</v>
      </c>
      <c r="O87" s="15" t="n">
        <v>30</v>
      </c>
      <c r="P87" s="15" t="n">
        <v>0</v>
      </c>
      <c r="Q87" s="15" t="n">
        <v>14000</v>
      </c>
      <c r="R87" s="15" t="n">
        <v>32000</v>
      </c>
      <c r="S87" s="15" t="n">
        <v>0</v>
      </c>
      <c r="T87" s="15" t="n">
        <v>3</v>
      </c>
      <c r="U87" s="15" t="n">
        <v>7</v>
      </c>
      <c r="V87" s="15" t="n">
        <v>0</v>
      </c>
      <c r="W87" s="15" t="n">
        <v>1</v>
      </c>
      <c r="X87" s="15" t="n">
        <v>2</v>
      </c>
      <c r="Y87" s="21" t="n">
        <v>0.02</v>
      </c>
      <c r="Z87" s="21" t="n">
        <v>0.1</v>
      </c>
      <c r="AA87" s="10">
        <f>P87-S87*E87-6*F87-G87</f>
        <v>-37000</v>
      </c>
      <c r="AB87" s="10">
        <f>Q87-T87*E87-6*F87-G87</f>
        <v>-26660</v>
      </c>
      <c r="AC87" s="10">
        <f>R87-U87*E87-6*F87-G87</f>
        <v>-13540</v>
      </c>
      <c r="AD87" s="10">
        <f>J87+V87*M87+S87*(N87+O87/60)</f>
        <v>400</v>
      </c>
      <c r="AE87" s="10">
        <f>I87+W87*M87+T87*(N87+O87/60)</f>
        <v>284.5</v>
      </c>
      <c r="AF87" s="10">
        <f>H87+X87*M87+U87*(N87+O87/60)</f>
        <v>215.5</v>
      </c>
      <c r="AG87" s="10">
        <f>IF(AE87&gt;0,AB87/AE87,0)</f>
        <v>-93.70826010544816</v>
      </c>
      <c r="AH87" s="10">
        <f>IF(W87&gt;0,(Q87-T87*E87)/W87,D87-E87)</f>
        <v>10340</v>
      </c>
      <c r="AI87" s="10">
        <f>IF(AH87&gt;0,(Hedef!$C$5+6*F87+G87)/AH87,0)</f>
        <v>17.50483558994197</v>
      </c>
      <c r="AJ87" s="10">
        <f>IF(AI87&gt;0,AI87/Z87,0)</f>
        <v>175.0483558994197</v>
      </c>
      <c r="AK87" s="10">
        <f>IF(AI87&gt;0,AI87/Y87,0)</f>
        <v>875.2417794970986</v>
      </c>
      <c r="AL87" s="10">
        <f>G87+F87*L87/30</f>
        <v>39000</v>
      </c>
      <c r="AM87" s="7" t="str">
        <f>IF(AB87&gt;=Hedef!$C$5,"evet","hayır")</f>
        <v>hayır</v>
      </c>
      <c r="AN87" s="7" t="str">
        <f>IF(AG87&gt;=Hedef!$C$8,"evet","hayır")</f>
        <v>hayır</v>
      </c>
      <c r="AO87" s="7" t="str">
        <f>IF(AE87&lt;=Hedef!$C$14,"evet","hayır")</f>
        <v>evet</v>
      </c>
      <c r="AP87" s="10">
        <f>AB87/Hedef!$C$4</f>
        <v>-555.4166666666666</v>
      </c>
    </row>
    <row r="88">
      <c r="A88" s="7" t="str">
        <f>Secenekler!A88</f>
        <v>ddd-renderer-a</v>
      </c>
      <c r="B88" s="7" t="str">
        <f>Secenekler!C88</f>
        <v>E-kitap eki: 3 mimari şablonlu paket (149 ₺)</v>
      </c>
      <c r="C88" s="17" t="inlineStr">
        <is>
          <t>tek seferlik</t>
        </is>
      </c>
      <c r="D88" s="15" t="n">
        <v>124</v>
      </c>
      <c r="E88" s="15" t="n">
        <v>6</v>
      </c>
      <c r="F88" s="15" t="n">
        <v>500</v>
      </c>
      <c r="G88" s="15" t="n">
        <v>3000</v>
      </c>
      <c r="H88" s="15" t="n">
        <v>40</v>
      </c>
      <c r="I88" s="15" t="n">
        <v>60</v>
      </c>
      <c r="J88" s="15" t="n">
        <v>80</v>
      </c>
      <c r="K88" s="15" t="n">
        <v>60</v>
      </c>
      <c r="L88" s="15" t="n">
        <v>120</v>
      </c>
      <c r="M88" s="15" t="n">
        <v>0.5</v>
      </c>
      <c r="N88" s="15" t="n">
        <v>0</v>
      </c>
      <c r="O88" s="15" t="n">
        <v>10</v>
      </c>
      <c r="P88" s="15" t="n">
        <v>372</v>
      </c>
      <c r="Q88" s="15" t="n">
        <v>1240</v>
      </c>
      <c r="R88" s="15" t="n">
        <v>3720</v>
      </c>
      <c r="S88" s="15" t="n">
        <v>3</v>
      </c>
      <c r="T88" s="15" t="n">
        <v>10</v>
      </c>
      <c r="U88" s="15" t="n">
        <v>30</v>
      </c>
      <c r="V88" s="15" t="n">
        <v>3</v>
      </c>
      <c r="W88" s="15" t="n">
        <v>10</v>
      </c>
      <c r="X88" s="15" t="n">
        <v>30</v>
      </c>
      <c r="Y88" s="21" t="n">
        <v>0.05</v>
      </c>
      <c r="Z88" s="21" t="n">
        <v>0.3</v>
      </c>
      <c r="AA88" s="10">
        <f>P88-S88*E88-6*F88-G88</f>
        <v>-5646</v>
      </c>
      <c r="AB88" s="10">
        <f>Q88-T88*E88-6*F88-G88</f>
        <v>-4820</v>
      </c>
      <c r="AC88" s="10">
        <f>R88-U88*E88-6*F88-G88</f>
        <v>-2460</v>
      </c>
      <c r="AD88" s="10">
        <f>J88+V88*M88+S88*(N88+O88/60)</f>
        <v>82</v>
      </c>
      <c r="AE88" s="10">
        <f>I88+W88*M88+T88*(N88+O88/60)</f>
        <v>66.66666666666667</v>
      </c>
      <c r="AF88" s="10">
        <f>H88+X88*M88+U88*(N88+O88/60)</f>
        <v>60</v>
      </c>
      <c r="AG88" s="10">
        <f>IF(AE88&gt;0,AB88/AE88,0)</f>
        <v>-72.3</v>
      </c>
      <c r="AH88" s="10">
        <f>IF(W88&gt;0,(Q88-T88*E88)/W88,D88-E88)</f>
        <v>118</v>
      </c>
      <c r="AI88" s="10">
        <f>IF(AH88&gt;0,(Hedef!$C$5+6*F88+G88)/AH88,0)</f>
        <v>1271.186440677966</v>
      </c>
      <c r="AJ88" s="10">
        <f>IF(AI88&gt;0,AI88/Z88,0)</f>
        <v>4237.28813559322</v>
      </c>
      <c r="AK88" s="10">
        <f>IF(AI88&gt;0,AI88/Y88,0)</f>
        <v>25423.72881355932</v>
      </c>
      <c r="AL88" s="10">
        <f>G88+F88*L88/30</f>
        <v>5000</v>
      </c>
      <c r="AM88" s="7" t="str">
        <f>IF(AB88&gt;=Hedef!$C$5,"evet","hayır")</f>
        <v>hayır</v>
      </c>
      <c r="AN88" s="7" t="str">
        <f>IF(AG88&gt;=Hedef!$C$8,"evet","hayır")</f>
        <v>hayır</v>
      </c>
      <c r="AO88" s="7" t="str">
        <f>IF(AE88&lt;=Hedef!$C$14,"evet","hayır")</f>
        <v>evet</v>
      </c>
      <c r="AP88" s="10">
        <f>AB88/Hedef!$C$4</f>
        <v>-100.4166666666667</v>
      </c>
    </row>
    <row r="89">
      <c r="A89" s="7" t="str">
        <f>Secenekler!A89</f>
        <v>ddd-renderer-b</v>
      </c>
      <c r="B89" s="7" t="str">
        <f>Secenekler!C89</f>
        <v>Uluslararası şablon paketleri (29-79 $) açık çekirdekle</v>
      </c>
      <c r="C89" s="17" t="inlineStr">
        <is>
          <t>tek seferlik</t>
        </is>
      </c>
      <c r="D89" s="15" t="n">
        <v>2352</v>
      </c>
      <c r="E89" s="15" t="n">
        <v>142</v>
      </c>
      <c r="F89" s="15" t="n">
        <v>500</v>
      </c>
      <c r="G89" s="15" t="n">
        <v>6000</v>
      </c>
      <c r="H89" s="15" t="n">
        <v>60</v>
      </c>
      <c r="I89" s="15" t="n">
        <v>80</v>
      </c>
      <c r="J89" s="15" t="n">
        <v>110</v>
      </c>
      <c r="K89" s="15" t="n">
        <v>45</v>
      </c>
      <c r="L89" s="15" t="n">
        <v>150</v>
      </c>
      <c r="M89" s="15" t="n">
        <v>1.5</v>
      </c>
      <c r="N89" s="15" t="n">
        <v>0</v>
      </c>
      <c r="O89" s="15" t="n">
        <v>20</v>
      </c>
      <c r="P89" s="15" t="n">
        <v>2234</v>
      </c>
      <c r="Q89" s="15" t="n">
        <v>13406</v>
      </c>
      <c r="R89" s="15" t="n">
        <v>44688</v>
      </c>
      <c r="S89" s="15" t="n">
        <v>1</v>
      </c>
      <c r="T89" s="15" t="n">
        <v>6</v>
      </c>
      <c r="U89" s="15" t="n">
        <v>20</v>
      </c>
      <c r="V89" s="15" t="n">
        <v>1</v>
      </c>
      <c r="W89" s="15" t="n">
        <v>6</v>
      </c>
      <c r="X89" s="15" t="n">
        <v>20</v>
      </c>
      <c r="Y89" s="21" t="n">
        <v>0.02</v>
      </c>
      <c r="Z89" s="21" t="n">
        <v>0.05</v>
      </c>
      <c r="AA89" s="10">
        <f>P89-S89*E89-6*F89-G89</f>
        <v>-6908</v>
      </c>
      <c r="AB89" s="10">
        <f>Q89-T89*E89-6*F89-G89</f>
        <v>3554</v>
      </c>
      <c r="AC89" s="10">
        <f>R89-U89*E89-6*F89-G89</f>
        <v>32848</v>
      </c>
      <c r="AD89" s="10">
        <f>J89+V89*M89+S89*(N89+O89/60)</f>
        <v>111.8333333333333</v>
      </c>
      <c r="AE89" s="10">
        <f>I89+W89*M89+T89*(N89+O89/60)</f>
        <v>91</v>
      </c>
      <c r="AF89" s="10">
        <f>H89+X89*M89+U89*(N89+O89/60)</f>
        <v>96.66666666666667</v>
      </c>
      <c r="AG89" s="10">
        <f>IF(AE89&gt;0,AB89/AE89,0)</f>
        <v>39.05494505494506</v>
      </c>
      <c r="AH89" s="10">
        <f>IF(W89&gt;0,(Q89-T89*E89)/W89,D89-E89)</f>
        <v>2092.333333333333</v>
      </c>
      <c r="AI89" s="10">
        <f>IF(AH89&gt;0,(Hedef!$C$5+6*F89+G89)/AH89,0)</f>
        <v>73.12410387127608</v>
      </c>
      <c r="AJ89" s="10">
        <f>IF(AI89&gt;0,AI89/Z89,0)</f>
        <v>1462.482077425522</v>
      </c>
      <c r="AK89" s="10">
        <f>IF(AI89&gt;0,AI89/Y89,0)</f>
        <v>3656.205193563804</v>
      </c>
      <c r="AL89" s="10">
        <f>G89+F89*L89/30</f>
        <v>8500</v>
      </c>
      <c r="AM89" s="7" t="str">
        <f>IF(AB89&gt;=Hedef!$C$5,"evet","hayır")</f>
        <v>hayır</v>
      </c>
      <c r="AN89" s="7" t="str">
        <f>IF(AG89&gt;=Hedef!$C$8,"evet","hayır")</f>
        <v>hayır</v>
      </c>
      <c r="AO89" s="7" t="str">
        <f>IF(AE89&lt;=Hedef!$C$14,"evet","hayır")</f>
        <v>evet</v>
      </c>
      <c r="AP89" s="10">
        <f>AB89/Hedef!$C$4</f>
        <v>74.04166666666667</v>
      </c>
    </row>
    <row r="90">
      <c r="A90" s="7" t="str">
        <f>Secenekler!A90</f>
        <v>ddd-renderer-c</v>
      </c>
      <c r="B90" s="7" t="str">
        <f>Secenekler!C90</f>
        <v>3 günlük sabit kapsamlı mimari değerlendirme hizmeti</v>
      </c>
      <c r="C90" s="17" t="inlineStr">
        <is>
          <t>proje</t>
        </is>
      </c>
      <c r="D90" s="15" t="n">
        <v>50000</v>
      </c>
      <c r="E90" s="15" t="n">
        <v>2000</v>
      </c>
      <c r="F90" s="15" t="n">
        <v>300</v>
      </c>
      <c r="G90" s="15" t="n">
        <v>2000</v>
      </c>
      <c r="H90" s="15" t="n">
        <v>30</v>
      </c>
      <c r="I90" s="15" t="n">
        <v>45</v>
      </c>
      <c r="J90" s="15" t="n">
        <v>60</v>
      </c>
      <c r="K90" s="15" t="n">
        <v>45</v>
      </c>
      <c r="L90" s="15" t="n">
        <v>120</v>
      </c>
      <c r="M90" s="15" t="n">
        <v>12</v>
      </c>
      <c r="N90" s="15" t="n">
        <v>24</v>
      </c>
      <c r="O90" s="15" t="n">
        <v>30</v>
      </c>
      <c r="P90" s="15" t="n">
        <v>0</v>
      </c>
      <c r="Q90" s="15" t="n">
        <v>0</v>
      </c>
      <c r="R90" s="15" t="n">
        <v>50000</v>
      </c>
      <c r="S90" s="15" t="n">
        <v>0</v>
      </c>
      <c r="T90" s="15" t="n">
        <v>0</v>
      </c>
      <c r="U90" s="15" t="n">
        <v>1</v>
      </c>
      <c r="V90" s="15" t="n">
        <v>0</v>
      </c>
      <c r="W90" s="15" t="n">
        <v>0</v>
      </c>
      <c r="X90" s="15" t="n">
        <v>1</v>
      </c>
      <c r="Y90" s="21" t="n">
        <v>0.02</v>
      </c>
      <c r="Z90" s="21" t="n">
        <v>0.1</v>
      </c>
      <c r="AA90" s="10">
        <f>P90-S90*E90-6*F90-G90</f>
        <v>-3800</v>
      </c>
      <c r="AB90" s="10">
        <f>Q90-T90*E90-6*F90-G90</f>
        <v>-3800</v>
      </c>
      <c r="AC90" s="10">
        <f>R90-U90*E90-6*F90-G90</f>
        <v>44200</v>
      </c>
      <c r="AD90" s="10">
        <f>J90+V90*M90+S90*(N90+O90/60)</f>
        <v>60</v>
      </c>
      <c r="AE90" s="10">
        <f>I90+W90*M90+T90*(N90+O90/60)</f>
        <v>45</v>
      </c>
      <c r="AF90" s="10">
        <f>H90+X90*M90+U90*(N90+O90/60)</f>
        <v>66.5</v>
      </c>
      <c r="AG90" s="10">
        <f>IF(AE90&gt;0,AB90/AE90,0)</f>
        <v>-84.44444444444444</v>
      </c>
      <c r="AH90" s="10">
        <f>IF(W90&gt;0,(Q90-T90*E90)/W90,D90-E90)</f>
        <v>48000</v>
      </c>
      <c r="AI90" s="10">
        <f>IF(AH90&gt;0,(Hedef!$C$5+6*F90+G90)/AH90,0)</f>
        <v>3.079166666666667</v>
      </c>
      <c r="AJ90" s="10">
        <f>IF(AI90&gt;0,AI90/Z90,0)</f>
        <v>30.79166666666666</v>
      </c>
      <c r="AK90" s="10">
        <f>IF(AI90&gt;0,AI90/Y90,0)</f>
        <v>153.9583333333333</v>
      </c>
      <c r="AL90" s="10">
        <f>G90+F90*L90/30</f>
        <v>3200</v>
      </c>
      <c r="AM90" s="7" t="str">
        <f>IF(AB90&gt;=Hedef!$C$5,"evet","hayır")</f>
        <v>hayır</v>
      </c>
      <c r="AN90" s="7" t="str">
        <f>IF(AG90&gt;=Hedef!$C$8,"evet","hayır")</f>
        <v>hayır</v>
      </c>
      <c r="AO90" s="7" t="str">
        <f>IF(AE90&lt;=Hedef!$C$14,"evet","hayır")</f>
        <v>evet</v>
      </c>
      <c r="AP90" s="10">
        <f>AB90/Hedef!$C$4</f>
        <v>-79.16666666666667</v>
      </c>
    </row>
    <row r="91">
      <c r="A91" s="7" t="str">
        <f>Secenekler!A91</f>
        <v>devpanel-a</v>
      </c>
      <c r="B91" s="7" t="str">
        <f>Secenekler!C91</f>
        <v>3 günlük onay, denetim ve yetki entegrasyon paketi</v>
      </c>
      <c r="C91" s="17" t="inlineStr">
        <is>
          <t>proje</t>
        </is>
      </c>
      <c r="D91" s="15" t="n">
        <v>36000</v>
      </c>
      <c r="E91" s="15" t="n">
        <v>500</v>
      </c>
      <c r="F91" s="15" t="n">
        <v>400</v>
      </c>
      <c r="G91" s="15" t="n">
        <v>2000</v>
      </c>
      <c r="H91" s="15" t="n">
        <v>40</v>
      </c>
      <c r="I91" s="15" t="n">
        <v>60</v>
      </c>
      <c r="J91" s="15" t="n">
        <v>90</v>
      </c>
      <c r="K91" s="15" t="n">
        <v>60</v>
      </c>
      <c r="L91" s="15" t="n">
        <v>150</v>
      </c>
      <c r="M91" s="15" t="n">
        <v>10</v>
      </c>
      <c r="N91" s="15" t="n">
        <v>24</v>
      </c>
      <c r="O91" s="15" t="n">
        <v>30</v>
      </c>
      <c r="P91" s="15" t="n">
        <v>0</v>
      </c>
      <c r="Q91" s="15" t="n">
        <v>0</v>
      </c>
      <c r="R91" s="15" t="n">
        <v>36000</v>
      </c>
      <c r="S91" s="15" t="n">
        <v>0</v>
      </c>
      <c r="T91" s="15" t="n">
        <v>0</v>
      </c>
      <c r="U91" s="15" t="n">
        <v>1</v>
      </c>
      <c r="V91" s="15" t="n">
        <v>0</v>
      </c>
      <c r="W91" s="15" t="n">
        <v>0</v>
      </c>
      <c r="X91" s="15" t="n">
        <v>1</v>
      </c>
      <c r="Y91" s="21" t="n">
        <v>0.03</v>
      </c>
      <c r="Z91" s="21" t="n">
        <v>0.1</v>
      </c>
      <c r="AA91" s="10">
        <f>P91-S91*E91-6*F91-G91</f>
        <v>-4400</v>
      </c>
      <c r="AB91" s="10">
        <f>Q91-T91*E91-6*F91-G91</f>
        <v>-4400</v>
      </c>
      <c r="AC91" s="10">
        <f>R91-U91*E91-6*F91-G91</f>
        <v>31100</v>
      </c>
      <c r="AD91" s="10">
        <f>J91+V91*M91+S91*(N91+O91/60)</f>
        <v>90</v>
      </c>
      <c r="AE91" s="10">
        <f>I91+W91*M91+T91*(N91+O91/60)</f>
        <v>60</v>
      </c>
      <c r="AF91" s="10">
        <f>H91+X91*M91+U91*(N91+O91/60)</f>
        <v>74.5</v>
      </c>
      <c r="AG91" s="10">
        <f>IF(AE91&gt;0,AB91/AE91,0)</f>
        <v>-73.33333333333333</v>
      </c>
      <c r="AH91" s="10">
        <f>IF(W91&gt;0,(Q91-T91*E91)/W91,D91-E91)</f>
        <v>35500</v>
      </c>
      <c r="AI91" s="10">
        <f>IF(AH91&gt;0,(Hedef!$C$5+6*F91+G91)/AH91,0)</f>
        <v>4.180281690140845</v>
      </c>
      <c r="AJ91" s="10">
        <f>IF(AI91&gt;0,AI91/Z91,0)</f>
        <v>41.80281690140845</v>
      </c>
      <c r="AK91" s="10">
        <f>IF(AI91&gt;0,AI91/Y91,0)</f>
        <v>139.3427230046948</v>
      </c>
      <c r="AL91" s="10">
        <f>G91+F91*L91/30</f>
        <v>4000</v>
      </c>
      <c r="AM91" s="7" t="str">
        <f>IF(AB91&gt;=Hedef!$C$5,"evet","hayır")</f>
        <v>hayır</v>
      </c>
      <c r="AN91" s="7" t="str">
        <f>IF(AG91&gt;=Hedef!$C$8,"evet","hayır")</f>
        <v>hayır</v>
      </c>
      <c r="AO91" s="7" t="str">
        <f>IF(AE91&lt;=Hedef!$C$14,"evet","hayır")</f>
        <v>evet</v>
      </c>
      <c r="AP91" s="10">
        <f>AB91/Hedef!$C$4</f>
        <v>-91.66666666666667</v>
      </c>
    </row>
    <row r="92">
      <c r="A92" s="7" t="str">
        <f>Secenekler!A92</f>
        <v>devpanel-b</v>
      </c>
      <c r="B92" s="7" t="str">
        <f>Secenekler!C92</f>
        <v>20 alanlı form şemasından JSON ve React dışa aktarım işi</v>
      </c>
      <c r="C92" s="17" t="inlineStr">
        <is>
          <t>proje</t>
        </is>
      </c>
      <c r="D92" s="15" t="n">
        <v>20000</v>
      </c>
      <c r="E92" s="15" t="n">
        <v>300</v>
      </c>
      <c r="F92" s="15" t="n">
        <v>400</v>
      </c>
      <c r="G92" s="15" t="n">
        <v>1500</v>
      </c>
      <c r="H92" s="15" t="n">
        <v>40</v>
      </c>
      <c r="I92" s="15" t="n">
        <v>64</v>
      </c>
      <c r="J92" s="15" t="n">
        <v>110</v>
      </c>
      <c r="K92" s="15" t="n">
        <v>60</v>
      </c>
      <c r="L92" s="15" t="n">
        <v>150</v>
      </c>
      <c r="M92" s="15" t="n">
        <v>12</v>
      </c>
      <c r="N92" s="15" t="n">
        <v>16</v>
      </c>
      <c r="O92" s="15" t="n">
        <v>30</v>
      </c>
      <c r="P92" s="15" t="n">
        <v>0</v>
      </c>
      <c r="Q92" s="15" t="n">
        <v>0</v>
      </c>
      <c r="R92" s="15" t="n">
        <v>40000</v>
      </c>
      <c r="S92" s="15" t="n">
        <v>0</v>
      </c>
      <c r="T92" s="15" t="n">
        <v>0</v>
      </c>
      <c r="U92" s="15" t="n">
        <v>2</v>
      </c>
      <c r="V92" s="15" t="n">
        <v>0</v>
      </c>
      <c r="W92" s="15" t="n">
        <v>0</v>
      </c>
      <c r="X92" s="15" t="n">
        <v>2</v>
      </c>
      <c r="Y92" s="21" t="n">
        <v>0.02</v>
      </c>
      <c r="Z92" s="21" t="n">
        <v>0.08</v>
      </c>
      <c r="AA92" s="10">
        <f>P92-S92*E92-6*F92-G92</f>
        <v>-3900</v>
      </c>
      <c r="AB92" s="10">
        <f>Q92-T92*E92-6*F92-G92</f>
        <v>-3900</v>
      </c>
      <c r="AC92" s="10">
        <f>R92-U92*E92-6*F92-G92</f>
        <v>35500</v>
      </c>
      <c r="AD92" s="10">
        <f>J92+V92*M92+S92*(N92+O92/60)</f>
        <v>110</v>
      </c>
      <c r="AE92" s="10">
        <f>I92+W92*M92+T92*(N92+O92/60)</f>
        <v>64</v>
      </c>
      <c r="AF92" s="10">
        <f>H92+X92*M92+U92*(N92+O92/60)</f>
        <v>97</v>
      </c>
      <c r="AG92" s="10">
        <f>IF(AE92&gt;0,AB92/AE92,0)</f>
        <v>-60.9375</v>
      </c>
      <c r="AH92" s="10">
        <f>IF(W92&gt;0,(Q92-T92*E92)/W92,D92-E92)</f>
        <v>19700</v>
      </c>
      <c r="AI92" s="10">
        <f>IF(AH92&gt;0,(Hedef!$C$5+6*F92+G92)/AH92,0)</f>
        <v>7.50761421319797</v>
      </c>
      <c r="AJ92" s="10">
        <f>IF(AI92&gt;0,AI92/Z92,0)</f>
        <v>93.84517766497461</v>
      </c>
      <c r="AK92" s="10">
        <f>IF(AI92&gt;0,AI92/Y92,0)</f>
        <v>375.3807106598985</v>
      </c>
      <c r="AL92" s="10">
        <f>G92+F92*L92/30</f>
        <v>3500</v>
      </c>
      <c r="AM92" s="7" t="str">
        <f>IF(AB92&gt;=Hedef!$C$5,"evet","hayır")</f>
        <v>hayır</v>
      </c>
      <c r="AN92" s="7" t="str">
        <f>IF(AG92&gt;=Hedef!$C$8,"evet","hayır")</f>
        <v>hayır</v>
      </c>
      <c r="AO92" s="7" t="str">
        <f>IF(AE92&lt;=Hedef!$C$14,"evet","hayır")</f>
        <v>evet</v>
      </c>
      <c r="AP92" s="10">
        <f>AB92/Hedef!$C$4</f>
        <v>-81.25</v>
      </c>
    </row>
    <row r="93">
      <c r="A93" s="7" t="str">
        <f>Secenekler!A93</f>
        <v>devpanel-c</v>
      </c>
      <c r="B93" s="7" t="str">
        <f>Secenekler!C93</f>
        <v>Yönetim paneli şablonu, 49 $ lisans</v>
      </c>
      <c r="C93" s="17" t="inlineStr">
        <is>
          <t>tek seferlik</t>
        </is>
      </c>
      <c r="D93" s="15" t="n">
        <v>2352</v>
      </c>
      <c r="E93" s="15" t="n">
        <v>142</v>
      </c>
      <c r="F93" s="15" t="n">
        <v>400</v>
      </c>
      <c r="G93" s="15" t="n">
        <v>1500</v>
      </c>
      <c r="H93" s="15" t="n">
        <v>80</v>
      </c>
      <c r="I93" s="15" t="n">
        <v>100</v>
      </c>
      <c r="J93" s="15" t="n">
        <v>120</v>
      </c>
      <c r="K93" s="15" t="n">
        <v>50</v>
      </c>
      <c r="L93" s="15" t="n">
        <v>120</v>
      </c>
      <c r="M93" s="15" t="n">
        <v>0.5</v>
      </c>
      <c r="N93" s="15" t="n">
        <v>0</v>
      </c>
      <c r="O93" s="15" t="n">
        <v>20</v>
      </c>
      <c r="P93" s="15" t="n">
        <v>0</v>
      </c>
      <c r="Q93" s="15" t="n">
        <v>14112</v>
      </c>
      <c r="R93" s="15" t="n">
        <v>58800</v>
      </c>
      <c r="S93" s="15" t="n">
        <v>0</v>
      </c>
      <c r="T93" s="15" t="n">
        <v>6</v>
      </c>
      <c r="U93" s="15" t="n">
        <v>25</v>
      </c>
      <c r="V93" s="15" t="n">
        <v>0</v>
      </c>
      <c r="W93" s="15" t="n">
        <v>6</v>
      </c>
      <c r="X93" s="15" t="n">
        <v>25</v>
      </c>
      <c r="Y93" s="21" t="n">
        <v>0.01</v>
      </c>
      <c r="Z93" s="21" t="n">
        <v>0.03</v>
      </c>
      <c r="AA93" s="10">
        <f>P93-S93*E93-6*F93-G93</f>
        <v>-3900</v>
      </c>
      <c r="AB93" s="10">
        <f>Q93-T93*E93-6*F93-G93</f>
        <v>9360</v>
      </c>
      <c r="AC93" s="10">
        <f>R93-U93*E93-6*F93-G93</f>
        <v>51350</v>
      </c>
      <c r="AD93" s="10">
        <f>J93+V93*M93+S93*(N93+O93/60)</f>
        <v>120</v>
      </c>
      <c r="AE93" s="10">
        <f>I93+W93*M93+T93*(N93+O93/60)</f>
        <v>105</v>
      </c>
      <c r="AF93" s="10">
        <f>H93+X93*M93+U93*(N93+O93/60)</f>
        <v>100.8333333333333</v>
      </c>
      <c r="AG93" s="10">
        <f>IF(AE93&gt;0,AB93/AE93,0)</f>
        <v>89.14285714285714</v>
      </c>
      <c r="AH93" s="10">
        <f>IF(W93&gt;0,(Q93-T93*E93)/W93,D93-E93)</f>
        <v>2210</v>
      </c>
      <c r="AI93" s="10">
        <f>IF(AH93&gt;0,(Hedef!$C$5+6*F93+G93)/AH93,0)</f>
        <v>66.92307692307692</v>
      </c>
      <c r="AJ93" s="10">
        <f>IF(AI93&gt;0,AI93/Z93,0)</f>
        <v>2230.769230769231</v>
      </c>
      <c r="AK93" s="10">
        <f>IF(AI93&gt;0,AI93/Y93,0)</f>
        <v>6692.307692307691</v>
      </c>
      <c r="AL93" s="10">
        <f>G93+F93*L93/30</f>
        <v>3100</v>
      </c>
      <c r="AM93" s="7" t="str">
        <f>IF(AB93&gt;=Hedef!$C$5,"evet","hayır")</f>
        <v>hayır</v>
      </c>
      <c r="AN93" s="7" t="str">
        <f>IF(AG93&gt;=Hedef!$C$8,"evet","hayır")</f>
        <v>hayır</v>
      </c>
      <c r="AO93" s="7" t="str">
        <f>IF(AE93&lt;=Hedef!$C$14,"evet","hayır")</f>
        <v>evet</v>
      </c>
      <c r="AP93" s="10">
        <f>AB93/Hedef!$C$4</f>
        <v>195</v>
      </c>
    </row>
    <row r="94">
      <c r="A94" s="7" t="str">
        <f>Secenekler!A94</f>
        <v>e-menum-a</v>
      </c>
      <c r="B94" s="7" t="str">
        <f>Secenekler!C94</f>
        <v>Tek kiracılı white-label kurulum paketi</v>
      </c>
      <c r="C94" s="17" t="inlineStr">
        <is>
          <t>proje</t>
        </is>
      </c>
      <c r="D94" s="15" t="n">
        <v>25000</v>
      </c>
      <c r="E94" s="15" t="n">
        <v>3000</v>
      </c>
      <c r="F94" s="15" t="n">
        <v>500</v>
      </c>
      <c r="G94" s="15" t="n">
        <v>8000</v>
      </c>
      <c r="H94" s="15" t="n">
        <v>50</v>
      </c>
      <c r="I94" s="15" t="n">
        <v>70</v>
      </c>
      <c r="J94" s="15" t="n">
        <v>100</v>
      </c>
      <c r="K94" s="15" t="n">
        <v>45</v>
      </c>
      <c r="L94" s="15" t="n">
        <v>120</v>
      </c>
      <c r="M94" s="15" t="n">
        <v>10</v>
      </c>
      <c r="N94" s="15" t="n">
        <v>20</v>
      </c>
      <c r="O94" s="15" t="n">
        <v>60</v>
      </c>
      <c r="P94" s="15" t="n">
        <v>0</v>
      </c>
      <c r="Q94" s="15" t="n">
        <v>20000</v>
      </c>
      <c r="R94" s="15" t="n">
        <v>45000</v>
      </c>
      <c r="S94" s="15" t="n">
        <v>0</v>
      </c>
      <c r="T94" s="15" t="n">
        <v>2</v>
      </c>
      <c r="U94" s="15" t="n">
        <v>4</v>
      </c>
      <c r="V94" s="15" t="n">
        <v>0</v>
      </c>
      <c r="W94" s="15" t="n">
        <v>1</v>
      </c>
      <c r="X94" s="15" t="n">
        <v>2</v>
      </c>
      <c r="Y94" s="21" t="n">
        <v>0.05</v>
      </c>
      <c r="Z94" s="21" t="n">
        <v>0.1</v>
      </c>
      <c r="AA94" s="10">
        <f>P94-S94*E94-6*F94-G94</f>
        <v>-11000</v>
      </c>
      <c r="AB94" s="10">
        <f>Q94-T94*E94-6*F94-G94</f>
        <v>3000</v>
      </c>
      <c r="AC94" s="10">
        <f>R94-U94*E94-6*F94-G94</f>
        <v>22000</v>
      </c>
      <c r="AD94" s="10">
        <f>J94+V94*M94+S94*(N94+O94/60)</f>
        <v>100</v>
      </c>
      <c r="AE94" s="10">
        <f>I94+W94*M94+T94*(N94+O94/60)</f>
        <v>122</v>
      </c>
      <c r="AF94" s="10">
        <f>H94+X94*M94+U94*(N94+O94/60)</f>
        <v>154</v>
      </c>
      <c r="AG94" s="10">
        <f>IF(AE94&gt;0,AB94/AE94,0)</f>
        <v>24.59016393442623</v>
      </c>
      <c r="AH94" s="10">
        <f>IF(W94&gt;0,(Q94-T94*E94)/W94,D94-E94)</f>
        <v>14000</v>
      </c>
      <c r="AI94" s="10">
        <f>IF(AH94&gt;0,(Hedef!$C$5+6*F94+G94)/AH94,0)</f>
        <v>11.07142857142857</v>
      </c>
      <c r="AJ94" s="10">
        <f>IF(AI94&gt;0,AI94/Z94,0)</f>
        <v>110.7142857142857</v>
      </c>
      <c r="AK94" s="10">
        <f>IF(AI94&gt;0,AI94/Y94,0)</f>
        <v>221.4285714285714</v>
      </c>
      <c r="AL94" s="10">
        <f>G94+F94*L94/30</f>
        <v>10000</v>
      </c>
      <c r="AM94" s="7" t="str">
        <f>IF(AB94&gt;=Hedef!$C$5,"evet","hayır")</f>
        <v>hayır</v>
      </c>
      <c r="AN94" s="7" t="str">
        <f>IF(AG94&gt;=Hedef!$C$8,"evet","hayır")</f>
        <v>hayır</v>
      </c>
      <c r="AO94" s="7" t="str">
        <f>IF(AE94&lt;=Hedef!$C$14,"evet","hayır")</f>
        <v>evet</v>
      </c>
      <c r="AP94" s="10">
        <f>AB94/Hedef!$C$4</f>
        <v>62.5</v>
      </c>
    </row>
    <row r="95">
      <c r="A95" s="7" t="str">
        <f>Secenekler!A95</f>
        <v>e-menum-b</v>
      </c>
      <c r="B95" s="7" t="str">
        <f>Secenekler!C95</f>
        <v>Çok şubeli markaya yönetilen menü güncelleme hizmeti</v>
      </c>
      <c r="C95" s="17" t="inlineStr">
        <is>
          <t>karma</t>
        </is>
      </c>
      <c r="D95" s="15" t="n">
        <v>4000</v>
      </c>
      <c r="E95" s="15" t="n">
        <v>500</v>
      </c>
      <c r="F95" s="15" t="n">
        <v>300</v>
      </c>
      <c r="G95" s="15" t="n">
        <v>3000</v>
      </c>
      <c r="H95" s="15" t="n">
        <v>60</v>
      </c>
      <c r="I95" s="15" t="n">
        <v>100</v>
      </c>
      <c r="J95" s="15" t="n">
        <v>160</v>
      </c>
      <c r="K95" s="15" t="n">
        <v>60</v>
      </c>
      <c r="L95" s="15" t="n">
        <v>110</v>
      </c>
      <c r="M95" s="15" t="n">
        <v>12</v>
      </c>
      <c r="N95" s="15" t="n">
        <v>9</v>
      </c>
      <c r="O95" s="15" t="n">
        <v>30</v>
      </c>
      <c r="P95" s="15" t="n">
        <v>0</v>
      </c>
      <c r="Q95" s="15" t="n">
        <v>13000</v>
      </c>
      <c r="R95" s="15" t="n">
        <v>26000</v>
      </c>
      <c r="S95" s="15" t="n">
        <v>0</v>
      </c>
      <c r="T95" s="15" t="n">
        <v>3</v>
      </c>
      <c r="U95" s="15" t="n">
        <v>6</v>
      </c>
      <c r="V95" s="15" t="n">
        <v>0</v>
      </c>
      <c r="W95" s="15" t="n">
        <v>1</v>
      </c>
      <c r="X95" s="15" t="n">
        <v>2</v>
      </c>
      <c r="Y95" s="21" t="n">
        <v>0.05</v>
      </c>
      <c r="Z95" s="21" t="n">
        <v>0.15</v>
      </c>
      <c r="AA95" s="10">
        <f>P95-S95*E95-6*F95-G95</f>
        <v>-4800</v>
      </c>
      <c r="AB95" s="10">
        <f>Q95-T95*E95-6*F95-G95</f>
        <v>6700</v>
      </c>
      <c r="AC95" s="10">
        <f>R95-U95*E95-6*F95-G95</f>
        <v>18200</v>
      </c>
      <c r="AD95" s="10">
        <f>J95+V95*M95+S95*(N95+O95/60)</f>
        <v>160</v>
      </c>
      <c r="AE95" s="10">
        <f>I95+W95*M95+T95*(N95+O95/60)</f>
        <v>140.5</v>
      </c>
      <c r="AF95" s="10">
        <f>H95+X95*M95+U95*(N95+O95/60)</f>
        <v>141</v>
      </c>
      <c r="AG95" s="10">
        <f>IF(AE95&gt;0,AB95/AE95,0)</f>
        <v>47.68683274021353</v>
      </c>
      <c r="AH95" s="10">
        <f>IF(W95&gt;0,(Q95-T95*E95)/W95,D95-E95)</f>
        <v>11500</v>
      </c>
      <c r="AI95" s="10">
        <f>IF(AH95&gt;0,(Hedef!$C$5+6*F95+G95)/AH95,0)</f>
        <v>12.93913043478261</v>
      </c>
      <c r="AJ95" s="10">
        <f>IF(AI95&gt;0,AI95/Z95,0)</f>
        <v>86.26086956521739</v>
      </c>
      <c r="AK95" s="10">
        <f>IF(AI95&gt;0,AI95/Y95,0)</f>
        <v>258.7826086956521</v>
      </c>
      <c r="AL95" s="10">
        <f>G95+F95*L95/30</f>
        <v>4100</v>
      </c>
      <c r="AM95" s="7" t="str">
        <f>IF(AB95&gt;=Hedef!$C$5,"evet","hayır")</f>
        <v>hayır</v>
      </c>
      <c r="AN95" s="7" t="str">
        <f>IF(AG95&gt;=Hedef!$C$8,"evet","hayır")</f>
        <v>hayır</v>
      </c>
      <c r="AO95" s="7" t="str">
        <f>IF(AE95&lt;=Hedef!$C$14,"evet","hayır")</f>
        <v>evet</v>
      </c>
      <c r="AP95" s="10">
        <f>AB95/Hedef!$C$4</f>
        <v>139.5833333333333</v>
      </c>
    </row>
    <row r="96">
      <c r="A96" s="7" t="str">
        <f>Secenekler!A96</f>
        <v>e-menum-c</v>
      </c>
      <c r="B96" s="7" t="str">
        <f>Secenekler!C96</f>
        <v>Kaynak kod ve belge paketi (depo ve topluluk)</v>
      </c>
      <c r="C96" s="17" t="inlineStr">
        <is>
          <t>tek seferlik</t>
        </is>
      </c>
      <c r="D96" s="15" t="n">
        <v>4272</v>
      </c>
      <c r="E96" s="15" t="n">
        <v>184</v>
      </c>
      <c r="F96" s="15" t="n">
        <v>0</v>
      </c>
      <c r="G96" s="15" t="n">
        <v>500</v>
      </c>
      <c r="H96" s="15" t="n">
        <v>30</v>
      </c>
      <c r="I96" s="15" t="n">
        <v>50</v>
      </c>
      <c r="J96" s="15" t="n">
        <v>80</v>
      </c>
      <c r="K96" s="15" t="n">
        <v>45</v>
      </c>
      <c r="L96" s="15" t="n">
        <v>120</v>
      </c>
      <c r="M96" s="15" t="n">
        <v>1</v>
      </c>
      <c r="N96" s="15" t="n">
        <v>0</v>
      </c>
      <c r="O96" s="15" t="n">
        <v>15</v>
      </c>
      <c r="P96" s="15" t="n">
        <v>0</v>
      </c>
      <c r="Q96" s="15" t="n">
        <v>4272</v>
      </c>
      <c r="R96" s="15" t="n">
        <v>12816</v>
      </c>
      <c r="S96" s="15" t="n">
        <v>0</v>
      </c>
      <c r="T96" s="15" t="n">
        <v>1</v>
      </c>
      <c r="U96" s="15" t="n">
        <v>3</v>
      </c>
      <c r="V96" s="15" t="n">
        <v>0</v>
      </c>
      <c r="W96" s="15" t="n">
        <v>1</v>
      </c>
      <c r="X96" s="15" t="n">
        <v>3</v>
      </c>
      <c r="Y96" s="21" t="n">
        <v>0.01</v>
      </c>
      <c r="Z96" s="21" t="n">
        <v>0.03</v>
      </c>
      <c r="AA96" s="10">
        <f>P96-S96*E96-6*F96-G96</f>
        <v>-500</v>
      </c>
      <c r="AB96" s="10">
        <f>Q96-T96*E96-6*F96-G96</f>
        <v>3588</v>
      </c>
      <c r="AC96" s="10">
        <f>R96-U96*E96-6*F96-G96</f>
        <v>11764</v>
      </c>
      <c r="AD96" s="10">
        <f>J96+V96*M96+S96*(N96+O96/60)</f>
        <v>80</v>
      </c>
      <c r="AE96" s="10">
        <f>I96+W96*M96+T96*(N96+O96/60)</f>
        <v>51.25</v>
      </c>
      <c r="AF96" s="10">
        <f>H96+X96*M96+U96*(N96+O96/60)</f>
        <v>33.75</v>
      </c>
      <c r="AG96" s="10">
        <f>IF(AE96&gt;0,AB96/AE96,0)</f>
        <v>70.00975609756098</v>
      </c>
      <c r="AH96" s="10">
        <f>IF(W96&gt;0,(Q96-T96*E96)/W96,D96-E96)</f>
        <v>4088</v>
      </c>
      <c r="AI96" s="10">
        <f>IF(AH96&gt;0,(Hedef!$C$5+6*F96+G96)/AH96,0)</f>
        <v>35.34735812133072</v>
      </c>
      <c r="AJ96" s="10">
        <f>IF(AI96&gt;0,AI96/Z96,0)</f>
        <v>1178.245270711024</v>
      </c>
      <c r="AK96" s="10">
        <f>IF(AI96&gt;0,AI96/Y96,0)</f>
        <v>3534.735812133072</v>
      </c>
      <c r="AL96" s="10">
        <f>G96+F96*L96/30</f>
        <v>500</v>
      </c>
      <c r="AM96" s="7" t="str">
        <f>IF(AB96&gt;=Hedef!$C$5,"evet","hayır")</f>
        <v>hayır</v>
      </c>
      <c r="AN96" s="7" t="str">
        <f>IF(AG96&gt;=Hedef!$C$8,"evet","hayır")</f>
        <v>hayır</v>
      </c>
      <c r="AO96" s="7" t="str">
        <f>IF(AE96&lt;=Hedef!$C$14,"evet","hayır")</f>
        <v>evet</v>
      </c>
      <c r="AP96" s="10">
        <f>AB96/Hedef!$C$4</f>
        <v>74.75</v>
      </c>
    </row>
    <row r="97">
      <c r="A97" s="7" t="str">
        <f>Secenekler!A97</f>
        <v>eklenti-firsat-panosu-a</v>
      </c>
      <c r="B97" s="7" t="str">
        <f>Secenekler!C97</f>
        <v>Bülten Pro: aylık eklenti fırsat bülteni</v>
      </c>
      <c r="C97" s="17" t="inlineStr">
        <is>
          <t>aylık abonelik</t>
        </is>
      </c>
      <c r="D97" s="15" t="n">
        <v>399</v>
      </c>
      <c r="E97" s="15" t="n">
        <v>50</v>
      </c>
      <c r="F97" s="15" t="n">
        <v>4500</v>
      </c>
      <c r="G97" s="15" t="n">
        <v>6000</v>
      </c>
      <c r="H97" s="15" t="n">
        <v>24</v>
      </c>
      <c r="I97" s="15" t="n">
        <v>40</v>
      </c>
      <c r="J97" s="15" t="n">
        <v>70</v>
      </c>
      <c r="K97" s="15" t="n">
        <v>63</v>
      </c>
      <c r="L97" s="15" t="n">
        <v>100</v>
      </c>
      <c r="M97" s="15" t="n">
        <v>0.5</v>
      </c>
      <c r="N97" s="15" t="n">
        <v>1.2</v>
      </c>
      <c r="O97" s="15" t="n">
        <v>10</v>
      </c>
      <c r="P97" s="15" t="n">
        <v>2394</v>
      </c>
      <c r="Q97" s="15" t="n">
        <v>13167</v>
      </c>
      <c r="R97" s="15" t="n">
        <v>65037</v>
      </c>
      <c r="S97" s="15" t="n">
        <v>6</v>
      </c>
      <c r="T97" s="15" t="n">
        <v>33</v>
      </c>
      <c r="U97" s="15" t="n">
        <v>163</v>
      </c>
      <c r="V97" s="15" t="n">
        <v>2</v>
      </c>
      <c r="W97" s="15" t="n">
        <v>12</v>
      </c>
      <c r="X97" s="15" t="n">
        <v>60</v>
      </c>
      <c r="Y97" s="21" t="n">
        <v>0.02</v>
      </c>
      <c r="Z97" s="21" t="n">
        <v>0.05</v>
      </c>
      <c r="AA97" s="10">
        <f>P97-S97*E97-6*F97-G97</f>
        <v>-30906</v>
      </c>
      <c r="AB97" s="10">
        <f>Q97-T97*E97-6*F97-G97</f>
        <v>-21483</v>
      </c>
      <c r="AC97" s="10">
        <f>R97-U97*E97-6*F97-G97</f>
        <v>23887</v>
      </c>
      <c r="AD97" s="10">
        <f>J97+V97*M97+S97*(N97+O97/60)</f>
        <v>79.2</v>
      </c>
      <c r="AE97" s="10">
        <f>I97+W97*M97+T97*(N97+O97/60)</f>
        <v>91.1</v>
      </c>
      <c r="AF97" s="10">
        <f>H97+X97*M97+U97*(N97+O97/60)</f>
        <v>276.7666666666667</v>
      </c>
      <c r="AG97" s="10">
        <f>IF(AE97&gt;0,AB97/AE97,0)</f>
        <v>-235.8177826564215</v>
      </c>
      <c r="AH97" s="10">
        <f>IF(W97&gt;0,(Q97-T97*E97)/W97,D97-E97)</f>
        <v>959.75</v>
      </c>
      <c r="AI97" s="10">
        <f>IF(AH97&gt;0,(Hedef!$C$5+6*F97+G97)/AH97,0)</f>
        <v>184.4230268299036</v>
      </c>
      <c r="AJ97" s="10">
        <f>IF(AI97&gt;0,AI97/Z97,0)</f>
        <v>3688.460536598072</v>
      </c>
      <c r="AK97" s="10">
        <f>IF(AI97&gt;0,AI97/Y97,0)</f>
        <v>9221.15134149518</v>
      </c>
      <c r="AL97" s="10">
        <f>G97+F97*L97/30</f>
        <v>21000</v>
      </c>
      <c r="AM97" s="7" t="str">
        <f>IF(AB97&gt;=Hedef!$C$5,"evet","hayır")</f>
        <v>hayır</v>
      </c>
      <c r="AN97" s="7" t="str">
        <f>IF(AG97&gt;=Hedef!$C$8,"evet","hayır")</f>
        <v>hayır</v>
      </c>
      <c r="AO97" s="7" t="str">
        <f>IF(AE97&lt;=Hedef!$C$14,"evet","hayır")</f>
        <v>evet</v>
      </c>
      <c r="AP97" s="10">
        <f>AB97/Hedef!$C$4</f>
        <v>-447.5625</v>
      </c>
    </row>
    <row r="98">
      <c r="A98" s="7" t="str">
        <f>Secenekler!A98</f>
        <v>eklenti-firsat-panosu-b</v>
      </c>
      <c r="B98" s="7" t="str">
        <f>Secenekler!C98</f>
        <v>Keşif Paketi: tek seferlik eklenti fırsat seti</v>
      </c>
      <c r="C98" s="17" t="inlineStr">
        <is>
          <t>tek seferlik</t>
        </is>
      </c>
      <c r="D98" s="15" t="n">
        <v>349</v>
      </c>
      <c r="E98" s="15" t="n">
        <v>15</v>
      </c>
      <c r="F98" s="15" t="n">
        <v>300</v>
      </c>
      <c r="G98" s="15" t="n">
        <v>3000</v>
      </c>
      <c r="H98" s="15" t="n">
        <v>12</v>
      </c>
      <c r="I98" s="15" t="n">
        <v>20</v>
      </c>
      <c r="J98" s="15" t="n">
        <v>36</v>
      </c>
      <c r="K98" s="15" t="n">
        <v>45</v>
      </c>
      <c r="L98" s="15" t="n">
        <v>75</v>
      </c>
      <c r="M98" s="15" t="n">
        <v>0.25</v>
      </c>
      <c r="N98" s="15" t="n">
        <v>0</v>
      </c>
      <c r="O98" s="15" t="n">
        <v>3</v>
      </c>
      <c r="P98" s="15" t="n">
        <v>1047</v>
      </c>
      <c r="Q98" s="15" t="n">
        <v>6980</v>
      </c>
      <c r="R98" s="15" t="n">
        <v>15705</v>
      </c>
      <c r="S98" s="15" t="n">
        <v>3</v>
      </c>
      <c r="T98" s="15" t="n">
        <v>20</v>
      </c>
      <c r="U98" s="15" t="n">
        <v>45</v>
      </c>
      <c r="V98" s="15" t="n">
        <v>3</v>
      </c>
      <c r="W98" s="15" t="n">
        <v>20</v>
      </c>
      <c r="X98" s="15" t="n">
        <v>45</v>
      </c>
      <c r="Y98" s="21" t="n">
        <v>0.02</v>
      </c>
      <c r="Z98" s="21" t="n">
        <v>0.04</v>
      </c>
      <c r="AA98" s="10">
        <f>P98-S98*E98-6*F98-G98</f>
        <v>-3798</v>
      </c>
      <c r="AB98" s="10">
        <f>Q98-T98*E98-6*F98-G98</f>
        <v>1880</v>
      </c>
      <c r="AC98" s="10">
        <f>R98-U98*E98-6*F98-G98</f>
        <v>10230</v>
      </c>
      <c r="AD98" s="10">
        <f>J98+V98*M98+S98*(N98+O98/60)</f>
        <v>36.9</v>
      </c>
      <c r="AE98" s="10">
        <f>I98+W98*M98+T98*(N98+O98/60)</f>
        <v>26</v>
      </c>
      <c r="AF98" s="10">
        <f>H98+X98*M98+U98*(N98+O98/60)</f>
        <v>25.5</v>
      </c>
      <c r="AG98" s="10">
        <f>IF(AE98&gt;0,AB98/AE98,0)</f>
        <v>72.3076923076923</v>
      </c>
      <c r="AH98" s="10">
        <f>IF(W98&gt;0,(Q98-T98*E98)/W98,D98-E98)</f>
        <v>334</v>
      </c>
      <c r="AI98" s="10">
        <f>IF(AH98&gt;0,(Hedef!$C$5+6*F98+G98)/AH98,0)</f>
        <v>445.5089820359282</v>
      </c>
      <c r="AJ98" s="10">
        <f>IF(AI98&gt;0,AI98/Z98,0)</f>
        <v>11137.7245508982</v>
      </c>
      <c r="AK98" s="10">
        <f>IF(AI98&gt;0,AI98/Y98,0)</f>
        <v>22275.44910179641</v>
      </c>
      <c r="AL98" s="10">
        <f>G98+F98*L98/30</f>
        <v>3750</v>
      </c>
      <c r="AM98" s="7" t="str">
        <f>IF(AB98&gt;=Hedef!$C$5,"evet","hayır")</f>
        <v>hayır</v>
      </c>
      <c r="AN98" s="7" t="str">
        <f>IF(AG98&gt;=Hedef!$C$8,"evet","hayır")</f>
        <v>hayır</v>
      </c>
      <c r="AO98" s="7" t="str">
        <f>IF(AE98&lt;=Hedef!$C$14,"evet","hayır")</f>
        <v>evet</v>
      </c>
      <c r="AP98" s="10">
        <f>AB98/Hedef!$C$4</f>
        <v>39.16666666666666</v>
      </c>
    </row>
    <row r="99">
      <c r="A99" s="7" t="str">
        <f>Secenekler!A99</f>
        <v>eklenti-firsat-panosu-c</v>
      </c>
      <c r="B99" s="7" t="str">
        <f>Secenekler!C99</f>
        <v>Ajans lisansı: ürün hattı fırsat paketi</v>
      </c>
      <c r="C99" s="17" t="inlineStr">
        <is>
          <t>yıllık peşin</t>
        </is>
      </c>
      <c r="D99" s="15" t="n">
        <v>14352</v>
      </c>
      <c r="E99" s="15" t="n">
        <v>1050</v>
      </c>
      <c r="F99" s="15" t="n">
        <v>0</v>
      </c>
      <c r="G99" s="15" t="n">
        <v>8000</v>
      </c>
      <c r="H99" s="15" t="n">
        <v>30</v>
      </c>
      <c r="I99" s="15" t="n">
        <v>50</v>
      </c>
      <c r="J99" s="15" t="n">
        <v>80</v>
      </c>
      <c r="K99" s="15" t="n">
        <v>75</v>
      </c>
      <c r="L99" s="15" t="n">
        <v>150</v>
      </c>
      <c r="M99" s="15" t="n">
        <v>4</v>
      </c>
      <c r="N99" s="15" t="n">
        <v>2.5</v>
      </c>
      <c r="O99" s="15" t="n">
        <v>20</v>
      </c>
      <c r="P99" s="15" t="n">
        <v>0</v>
      </c>
      <c r="Q99" s="15" t="n">
        <v>14352</v>
      </c>
      <c r="R99" s="15" t="n">
        <v>43056</v>
      </c>
      <c r="S99" s="15" t="n">
        <v>0</v>
      </c>
      <c r="T99" s="15" t="n">
        <v>1</v>
      </c>
      <c r="U99" s="15" t="n">
        <v>3</v>
      </c>
      <c r="V99" s="15" t="n">
        <v>0</v>
      </c>
      <c r="W99" s="15" t="n">
        <v>1</v>
      </c>
      <c r="X99" s="15" t="n">
        <v>3</v>
      </c>
      <c r="Y99" s="21" t="n">
        <v>0.03</v>
      </c>
      <c r="Z99" s="21" t="n">
        <v>0.15</v>
      </c>
      <c r="AA99" s="10">
        <f>P99-S99*E99-6*F99-G99</f>
        <v>-8000</v>
      </c>
      <c r="AB99" s="10">
        <f>Q99-T99*E99-6*F99-G99</f>
        <v>5302</v>
      </c>
      <c r="AC99" s="10">
        <f>R99-U99*E99-6*F99-G99</f>
        <v>31906</v>
      </c>
      <c r="AD99" s="10">
        <f>J99+V99*M99+S99*(N99+O99/60)</f>
        <v>80</v>
      </c>
      <c r="AE99" s="10">
        <f>I99+W99*M99+T99*(N99+O99/60)</f>
        <v>56.83333333333334</v>
      </c>
      <c r="AF99" s="10">
        <f>H99+X99*M99+U99*(N99+O99/60)</f>
        <v>50.5</v>
      </c>
      <c r="AG99" s="10">
        <f>IF(AE99&gt;0,AB99/AE99,0)</f>
        <v>93.29032258064515</v>
      </c>
      <c r="AH99" s="10">
        <f>IF(W99&gt;0,(Q99-T99*E99)/W99,D99-E99)</f>
        <v>13302</v>
      </c>
      <c r="AI99" s="10">
        <f>IF(AH99&gt;0,(Hedef!$C$5+6*F99+G99)/AH99,0)</f>
        <v>11.42685310479627</v>
      </c>
      <c r="AJ99" s="10">
        <f>IF(AI99&gt;0,AI99/Z99,0)</f>
        <v>76.1790206986418</v>
      </c>
      <c r="AK99" s="10">
        <f>IF(AI99&gt;0,AI99/Y99,0)</f>
        <v>380.895103493209</v>
      </c>
      <c r="AL99" s="10">
        <f>G99+F99*L99/30</f>
        <v>8000</v>
      </c>
      <c r="AM99" s="7" t="str">
        <f>IF(AB99&gt;=Hedef!$C$5,"evet","hayır")</f>
        <v>hayır</v>
      </c>
      <c r="AN99" s="7" t="str">
        <f>IF(AG99&gt;=Hedef!$C$8,"evet","hayır")</f>
        <v>hayır</v>
      </c>
      <c r="AO99" s="7" t="str">
        <f>IF(AE99&lt;=Hedef!$C$14,"evet","hayır")</f>
        <v>evet</v>
      </c>
      <c r="AP99" s="10">
        <f>AB99/Hedef!$C$4</f>
        <v>110.4583333333333</v>
      </c>
    </row>
    <row r="100">
      <c r="A100" s="7" t="str">
        <f>Secenekler!A100</f>
        <v>cok-dilli-arayuz-a</v>
      </c>
      <c r="B100" s="7" t="str">
        <f>Secenekler!C100</f>
        <v>Çok dilli site denetimi: sabit fiyatlı paket</v>
      </c>
      <c r="C100" s="17" t="inlineStr">
        <is>
          <t>proje</t>
        </is>
      </c>
      <c r="D100" s="15" t="n">
        <v>7500</v>
      </c>
      <c r="E100" s="15" t="n">
        <v>1500</v>
      </c>
      <c r="F100" s="15" t="n">
        <v>1500</v>
      </c>
      <c r="G100" s="15" t="n">
        <v>3000</v>
      </c>
      <c r="H100" s="15" t="n">
        <v>20</v>
      </c>
      <c r="I100" s="15" t="n">
        <v>32</v>
      </c>
      <c r="J100" s="15" t="n">
        <v>45</v>
      </c>
      <c r="K100" s="15" t="n">
        <v>30</v>
      </c>
      <c r="L100" s="15" t="n">
        <v>60</v>
      </c>
      <c r="M100" s="15" t="n">
        <v>8</v>
      </c>
      <c r="N100" s="15" t="n">
        <v>20</v>
      </c>
      <c r="O100" s="15" t="n">
        <v>15</v>
      </c>
      <c r="P100" s="15" t="n">
        <v>0</v>
      </c>
      <c r="Q100" s="15" t="n">
        <v>22500</v>
      </c>
      <c r="R100" s="15" t="n">
        <v>52500</v>
      </c>
      <c r="S100" s="15" t="n">
        <v>0</v>
      </c>
      <c r="T100" s="15" t="n">
        <v>3</v>
      </c>
      <c r="U100" s="15" t="n">
        <v>5</v>
      </c>
      <c r="V100" s="15" t="n">
        <v>0</v>
      </c>
      <c r="W100" s="15" t="n">
        <v>3</v>
      </c>
      <c r="X100" s="15" t="n">
        <v>5</v>
      </c>
      <c r="Y100" s="21" t="n">
        <v>0.1</v>
      </c>
      <c r="Z100" s="21" t="n">
        <v>0.3</v>
      </c>
      <c r="AA100" s="10">
        <f>P100-S100*E100-6*F100-G100</f>
        <v>-12000</v>
      </c>
      <c r="AB100" s="10">
        <f>Q100-T100*E100-6*F100-G100</f>
        <v>6000</v>
      </c>
      <c r="AC100" s="10">
        <f>R100-U100*E100-6*F100-G100</f>
        <v>33000</v>
      </c>
      <c r="AD100" s="10">
        <f>J100+V100*M100+S100*(N100+O100/60)</f>
        <v>45</v>
      </c>
      <c r="AE100" s="10">
        <f>I100+W100*M100+T100*(N100+O100/60)</f>
        <v>116.75</v>
      </c>
      <c r="AF100" s="10">
        <f>H100+X100*M100+U100*(N100+O100/60)</f>
        <v>161.25</v>
      </c>
      <c r="AG100" s="10">
        <f>IF(AE100&gt;0,AB100/AE100,0)</f>
        <v>51.39186295503212</v>
      </c>
      <c r="AH100" s="10">
        <f>IF(W100&gt;0,(Q100-T100*E100)/W100,D100-E100)</f>
        <v>6000</v>
      </c>
      <c r="AI100" s="10">
        <f>IF(AH100&gt;0,(Hedef!$C$5+6*F100+G100)/AH100,0)</f>
        <v>26</v>
      </c>
      <c r="AJ100" s="10">
        <f>IF(AI100&gt;0,AI100/Z100,0)</f>
        <v>86.66666666666667</v>
      </c>
      <c r="AK100" s="10">
        <f>IF(AI100&gt;0,AI100/Y100,0)</f>
        <v>260</v>
      </c>
      <c r="AL100" s="10">
        <f>G100+F100*L100/30</f>
        <v>6000</v>
      </c>
      <c r="AM100" s="7" t="str">
        <f>IF(AB100&gt;=Hedef!$C$5,"evet","hayır")</f>
        <v>hayır</v>
      </c>
      <c r="AN100" s="7" t="str">
        <f>IF(AG100&gt;=Hedef!$C$8,"evet","hayır")</f>
        <v>hayır</v>
      </c>
      <c r="AO100" s="7" t="str">
        <f>IF(AE100&lt;=Hedef!$C$14,"evet","hayır")</f>
        <v>evet</v>
      </c>
      <c r="AP100" s="10">
        <f>AB100/Hedef!$C$4</f>
        <v>125</v>
      </c>
    </row>
    <row r="101">
      <c r="A101" s="7" t="str">
        <f>Secenekler!A101</f>
        <v>cok-dilli-arayuz-b</v>
      </c>
      <c r="B101" s="7" t="str">
        <f>Secenekler!C101</f>
        <v>Kontrol listesi PDF ve ücretsiz Atlas modülü</v>
      </c>
      <c r="C101" s="17" t="inlineStr">
        <is>
          <t>tek seferlik</t>
        </is>
      </c>
      <c r="D101" s="15" t="n">
        <v>249</v>
      </c>
      <c r="E101" s="15" t="n">
        <v>10</v>
      </c>
      <c r="F101" s="15" t="n">
        <v>1500</v>
      </c>
      <c r="G101" s="15" t="n">
        <v>1500</v>
      </c>
      <c r="H101" s="15" t="n">
        <v>30</v>
      </c>
      <c r="I101" s="15" t="n">
        <v>50</v>
      </c>
      <c r="J101" s="15" t="n">
        <v>70</v>
      </c>
      <c r="K101" s="15" t="n">
        <v>35</v>
      </c>
      <c r="L101" s="15" t="n">
        <v>75</v>
      </c>
      <c r="M101" s="15" t="n">
        <v>0</v>
      </c>
      <c r="N101" s="15" t="n">
        <v>0</v>
      </c>
      <c r="O101" s="15" t="n">
        <v>5</v>
      </c>
      <c r="P101" s="15" t="n">
        <v>1245</v>
      </c>
      <c r="Q101" s="15" t="n">
        <v>4980</v>
      </c>
      <c r="R101" s="15" t="n">
        <v>19920</v>
      </c>
      <c r="S101" s="15" t="n">
        <v>5</v>
      </c>
      <c r="T101" s="15" t="n">
        <v>20</v>
      </c>
      <c r="U101" s="15" t="n">
        <v>80</v>
      </c>
      <c r="V101" s="15" t="n">
        <v>5</v>
      </c>
      <c r="W101" s="15" t="n">
        <v>20</v>
      </c>
      <c r="X101" s="15" t="n">
        <v>80</v>
      </c>
      <c r="Y101" s="21" t="n">
        <v>0.003</v>
      </c>
      <c r="Z101" s="21" t="n">
        <v>0.01</v>
      </c>
      <c r="AA101" s="10">
        <f>P101-S101*E101-6*F101-G101</f>
        <v>-9305</v>
      </c>
      <c r="AB101" s="10">
        <f>Q101-T101*E101-6*F101-G101</f>
        <v>-5720</v>
      </c>
      <c r="AC101" s="10">
        <f>R101-U101*E101-6*F101-G101</f>
        <v>8620</v>
      </c>
      <c r="AD101" s="10">
        <f>J101+V101*M101+S101*(N101+O101/60)</f>
        <v>70.41666666666667</v>
      </c>
      <c r="AE101" s="10">
        <f>I101+W101*M101+T101*(N101+O101/60)</f>
        <v>51.66666666666666</v>
      </c>
      <c r="AF101" s="10">
        <f>H101+X101*M101+U101*(N101+O101/60)</f>
        <v>36.66666666666666</v>
      </c>
      <c r="AG101" s="10">
        <f>IF(AE101&gt;0,AB101/AE101,0)</f>
        <v>-110.7096774193548</v>
      </c>
      <c r="AH101" s="10">
        <f>IF(W101&gt;0,(Q101-T101*E101)/W101,D101-E101)</f>
        <v>239</v>
      </c>
      <c r="AI101" s="10">
        <f>IF(AH101&gt;0,(Hedef!$C$5+6*F101+G101)/AH101,0)</f>
        <v>646.4435146443515</v>
      </c>
      <c r="AJ101" s="10">
        <f>IF(AI101&gt;0,AI101/Z101,0)</f>
        <v>64644.35146443515</v>
      </c>
      <c r="AK101" s="10">
        <f>IF(AI101&gt;0,AI101/Y101,0)</f>
        <v>215481.1715481172</v>
      </c>
      <c r="AL101" s="10">
        <f>G101+F101*L101/30</f>
        <v>5250</v>
      </c>
      <c r="AM101" s="7" t="str">
        <f>IF(AB101&gt;=Hedef!$C$5,"evet","hayır")</f>
        <v>hayır</v>
      </c>
      <c r="AN101" s="7" t="str">
        <f>IF(AG101&gt;=Hedef!$C$8,"evet","hayır")</f>
        <v>hayır</v>
      </c>
      <c r="AO101" s="7" t="str">
        <f>IF(AE101&lt;=Hedef!$C$14,"evet","hayır")</f>
        <v>evet</v>
      </c>
      <c r="AP101" s="10">
        <f>AB101/Hedef!$C$4</f>
        <v>-119.1666666666667</v>
      </c>
    </row>
    <row r="102">
      <c r="A102" s="7" t="str">
        <f>Secenekler!A102</f>
        <v>cok-dilli-arayuz-c</v>
      </c>
      <c r="B102" s="7" t="str">
        <f>Secenekler!C102</f>
        <v>SaaS ekibine ücretli pilot: yerelleştirme QA kapısı</v>
      </c>
      <c r="C102" s="17" t="inlineStr">
        <is>
          <t>proje</t>
        </is>
      </c>
      <c r="D102" s="15" t="n">
        <v>14400</v>
      </c>
      <c r="E102" s="15" t="n">
        <v>500</v>
      </c>
      <c r="F102" s="15" t="n">
        <v>1200</v>
      </c>
      <c r="G102" s="15" t="n">
        <v>1200</v>
      </c>
      <c r="H102" s="15" t="n">
        <v>40</v>
      </c>
      <c r="I102" s="15" t="n">
        <v>70</v>
      </c>
      <c r="J102" s="15" t="n">
        <v>110</v>
      </c>
      <c r="K102" s="15" t="n">
        <v>45</v>
      </c>
      <c r="L102" s="15" t="n">
        <v>120</v>
      </c>
      <c r="M102" s="15" t="n">
        <v>12</v>
      </c>
      <c r="N102" s="15" t="n">
        <v>45</v>
      </c>
      <c r="O102" s="15" t="n">
        <v>30</v>
      </c>
      <c r="P102" s="15" t="n">
        <v>0</v>
      </c>
      <c r="Q102" s="15" t="n">
        <v>0</v>
      </c>
      <c r="R102" s="15" t="n">
        <v>14400</v>
      </c>
      <c r="S102" s="15" t="n">
        <v>0</v>
      </c>
      <c r="T102" s="15" t="n">
        <v>0</v>
      </c>
      <c r="U102" s="15" t="n">
        <v>1</v>
      </c>
      <c r="V102" s="15" t="n">
        <v>0</v>
      </c>
      <c r="W102" s="15" t="n">
        <v>0</v>
      </c>
      <c r="X102" s="15" t="n">
        <v>1</v>
      </c>
      <c r="Y102" s="21" t="n">
        <v>0.03</v>
      </c>
      <c r="Z102" s="21" t="n">
        <v>0.1</v>
      </c>
      <c r="AA102" s="10">
        <f>P102-S102*E102-6*F102-G102</f>
        <v>-8400</v>
      </c>
      <c r="AB102" s="10">
        <f>Q102-T102*E102-6*F102-G102</f>
        <v>-8400</v>
      </c>
      <c r="AC102" s="10">
        <f>R102-U102*E102-6*F102-G102</f>
        <v>5500</v>
      </c>
      <c r="AD102" s="10">
        <f>J102+V102*M102+S102*(N102+O102/60)</f>
        <v>110</v>
      </c>
      <c r="AE102" s="10">
        <f>I102+W102*M102+T102*(N102+O102/60)</f>
        <v>70</v>
      </c>
      <c r="AF102" s="10">
        <f>H102+X102*M102+U102*(N102+O102/60)</f>
        <v>97.5</v>
      </c>
      <c r="AG102" s="10">
        <f>IF(AE102&gt;0,AB102/AE102,0)</f>
        <v>-120</v>
      </c>
      <c r="AH102" s="10">
        <f>IF(W102&gt;0,(Q102-T102*E102)/W102,D102-E102)</f>
        <v>13900</v>
      </c>
      <c r="AI102" s="10">
        <f>IF(AH102&gt;0,(Hedef!$C$5+6*F102+G102)/AH102,0)</f>
        <v>10.96402877697842</v>
      </c>
      <c r="AJ102" s="10">
        <f>IF(AI102&gt;0,AI102/Z102,0)</f>
        <v>109.6402877697842</v>
      </c>
      <c r="AK102" s="10">
        <f>IF(AI102&gt;0,AI102/Y102,0)</f>
        <v>365.4676258992806</v>
      </c>
      <c r="AL102" s="10">
        <f>G102+F102*L102/30</f>
        <v>6000</v>
      </c>
      <c r="AM102" s="7" t="str">
        <f>IF(AB102&gt;=Hedef!$C$5,"evet","hayır")</f>
        <v>hayır</v>
      </c>
      <c r="AN102" s="7" t="str">
        <f>IF(AG102&gt;=Hedef!$C$8,"evet","hayır")</f>
        <v>hayır</v>
      </c>
      <c r="AO102" s="7" t="str">
        <f>IF(AE102&lt;=Hedef!$C$14,"evet","hayır")</f>
        <v>evet</v>
      </c>
      <c r="AP102" s="10">
        <f>AB102/Hedef!$C$4</f>
        <v>-175</v>
      </c>
    </row>
    <row r="103">
      <c r="A103" s="7" t="str">
        <f>Secenekler!A103</f>
        <v>b2b-pazar-yeri-hizmeti-a</v>
      </c>
      <c r="B103" s="7" t="str">
        <f>Secenekler!C103</f>
        <v>Soğuk başlangıç teşhis paketi (2 hafta)</v>
      </c>
      <c r="C103" s="17" t="inlineStr">
        <is>
          <t>proje</t>
        </is>
      </c>
      <c r="D103" s="15" t="n">
        <v>60000</v>
      </c>
      <c r="E103" s="15" t="n">
        <v>2000</v>
      </c>
      <c r="F103" s="15" t="n">
        <v>11000</v>
      </c>
      <c r="G103" s="15" t="n">
        <v>10000</v>
      </c>
      <c r="H103" s="15" t="n">
        <v>72</v>
      </c>
      <c r="I103" s="15" t="n">
        <v>128</v>
      </c>
      <c r="J103" s="15" t="n">
        <v>180</v>
      </c>
      <c r="K103" s="15" t="n">
        <v>84</v>
      </c>
      <c r="L103" s="15" t="n">
        <v>120</v>
      </c>
      <c r="M103" s="15" t="n">
        <v>12</v>
      </c>
      <c r="N103" s="15" t="n">
        <v>40</v>
      </c>
      <c r="O103" s="15" t="n">
        <v>60</v>
      </c>
      <c r="P103" s="15" t="n">
        <v>0</v>
      </c>
      <c r="Q103" s="15" t="n">
        <v>120000</v>
      </c>
      <c r="R103" s="15" t="n">
        <v>240000</v>
      </c>
      <c r="S103" s="15" t="n">
        <v>0</v>
      </c>
      <c r="T103" s="15" t="n">
        <v>2</v>
      </c>
      <c r="U103" s="15" t="n">
        <v>4</v>
      </c>
      <c r="V103" s="15" t="n">
        <v>0</v>
      </c>
      <c r="W103" s="15" t="n">
        <v>2</v>
      </c>
      <c r="X103" s="15" t="n">
        <v>3</v>
      </c>
      <c r="Y103" s="21" t="n">
        <v>0.03</v>
      </c>
      <c r="Z103" s="21" t="n">
        <v>0.1</v>
      </c>
      <c r="AA103" s="10">
        <f>P103-S103*E103-6*F103-G103</f>
        <v>-76000</v>
      </c>
      <c r="AB103" s="10">
        <f>Q103-T103*E103-6*F103-G103</f>
        <v>40000</v>
      </c>
      <c r="AC103" s="10">
        <f>R103-U103*E103-6*F103-G103</f>
        <v>156000</v>
      </c>
      <c r="AD103" s="10">
        <f>J103+V103*M103+S103*(N103+O103/60)</f>
        <v>180</v>
      </c>
      <c r="AE103" s="10">
        <f>I103+W103*M103+T103*(N103+O103/60)</f>
        <v>234</v>
      </c>
      <c r="AF103" s="10">
        <f>H103+X103*M103+U103*(N103+O103/60)</f>
        <v>272</v>
      </c>
      <c r="AG103" s="10">
        <f>IF(AE103&gt;0,AB103/AE103,0)</f>
        <v>170.9401709401709</v>
      </c>
      <c r="AH103" s="10">
        <f>IF(W103&gt;0,(Q103-T103*E103)/W103,D103-E103)</f>
        <v>58000</v>
      </c>
      <c r="AI103" s="10">
        <f>IF(AH103&gt;0,(Hedef!$C$5+6*F103+G103)/AH103,0)</f>
        <v>3.793103448275862</v>
      </c>
      <c r="AJ103" s="10">
        <f>IF(AI103&gt;0,AI103/Z103,0)</f>
        <v>37.93103448275862</v>
      </c>
      <c r="AK103" s="10">
        <f>IF(AI103&gt;0,AI103/Y103,0)</f>
        <v>126.4367816091954</v>
      </c>
      <c r="AL103" s="10">
        <f>G103+F103*L103/30</f>
        <v>54000</v>
      </c>
      <c r="AM103" s="7" t="str">
        <f>IF(AB103&gt;=Hedef!$C$5,"evet","hayır")</f>
        <v>hayır</v>
      </c>
      <c r="AN103" s="7" t="str">
        <f>IF(AG103&gt;=Hedef!$C$8,"evet","hayır")</f>
        <v>hayır</v>
      </c>
      <c r="AO103" s="7" t="str">
        <f>IF(AE103&lt;=Hedef!$C$14,"evet","hayır")</f>
        <v>evet</v>
      </c>
      <c r="AP103" s="10">
        <f>AB103/Hedef!$C$4</f>
        <v>833.3333333333334</v>
      </c>
    </row>
    <row r="104">
      <c r="A104" s="7" t="str">
        <f>Secenekler!A104</f>
        <v>b2b-pazar-yeri-hizmeti-b</v>
      </c>
      <c r="B104" s="7" t="str">
        <f>Secenekler!C104</f>
        <v>Tek kategori talep ve teklif doğrulama raporu</v>
      </c>
      <c r="C104" s="17" t="inlineStr">
        <is>
          <t>proje</t>
        </is>
      </c>
      <c r="D104" s="15" t="n">
        <v>20000</v>
      </c>
      <c r="E104" s="15" t="n">
        <v>1000</v>
      </c>
      <c r="F104" s="15" t="n">
        <v>6000</v>
      </c>
      <c r="G104" s="15" t="n">
        <v>6000</v>
      </c>
      <c r="H104" s="15" t="n">
        <v>50</v>
      </c>
      <c r="I104" s="15" t="n">
        <v>80</v>
      </c>
      <c r="J104" s="15" t="n">
        <v>120</v>
      </c>
      <c r="K104" s="15" t="n">
        <v>45</v>
      </c>
      <c r="L104" s="15" t="n">
        <v>100</v>
      </c>
      <c r="M104" s="15" t="n">
        <v>6</v>
      </c>
      <c r="N104" s="15" t="n">
        <v>24</v>
      </c>
      <c r="O104" s="15" t="n">
        <v>30</v>
      </c>
      <c r="P104" s="15" t="n">
        <v>0</v>
      </c>
      <c r="Q104" s="15" t="n">
        <v>20000</v>
      </c>
      <c r="R104" s="15" t="n">
        <v>60000</v>
      </c>
      <c r="S104" s="15" t="n">
        <v>0</v>
      </c>
      <c r="T104" s="15" t="n">
        <v>1</v>
      </c>
      <c r="U104" s="15" t="n">
        <v>3</v>
      </c>
      <c r="V104" s="15" t="n">
        <v>0</v>
      </c>
      <c r="W104" s="15" t="n">
        <v>1</v>
      </c>
      <c r="X104" s="15" t="n">
        <v>3</v>
      </c>
      <c r="Y104" s="21" t="n">
        <v>0.03</v>
      </c>
      <c r="Z104" s="21" t="n">
        <v>0.08</v>
      </c>
      <c r="AA104" s="10">
        <f>P104-S104*E104-6*F104-G104</f>
        <v>-42000</v>
      </c>
      <c r="AB104" s="10">
        <f>Q104-T104*E104-6*F104-G104</f>
        <v>-23000</v>
      </c>
      <c r="AC104" s="10">
        <f>R104-U104*E104-6*F104-G104</f>
        <v>15000</v>
      </c>
      <c r="AD104" s="10">
        <f>J104+V104*M104+S104*(N104+O104/60)</f>
        <v>120</v>
      </c>
      <c r="AE104" s="10">
        <f>I104+W104*M104+T104*(N104+O104/60)</f>
        <v>110.5</v>
      </c>
      <c r="AF104" s="10">
        <f>H104+X104*M104+U104*(N104+O104/60)</f>
        <v>141.5</v>
      </c>
      <c r="AG104" s="10">
        <f>IF(AE104&gt;0,AB104/AE104,0)</f>
        <v>-208.1447963800905</v>
      </c>
      <c r="AH104" s="10">
        <f>IF(W104&gt;0,(Q104-T104*E104)/W104,D104-E104)</f>
        <v>19000</v>
      </c>
      <c r="AI104" s="10">
        <f>IF(AH104&gt;0,(Hedef!$C$5+6*F104+G104)/AH104,0)</f>
        <v>9.789473684210526</v>
      </c>
      <c r="AJ104" s="10">
        <f>IF(AI104&gt;0,AI104/Z104,0)</f>
        <v>122.3684210526316</v>
      </c>
      <c r="AK104" s="10">
        <f>IF(AI104&gt;0,AI104/Y104,0)</f>
        <v>326.3157894736842</v>
      </c>
      <c r="AL104" s="10">
        <f>G104+F104*L104/30</f>
        <v>26000</v>
      </c>
      <c r="AM104" s="7" t="str">
        <f>IF(AB104&gt;=Hedef!$C$5,"evet","hayır")</f>
        <v>hayır</v>
      </c>
      <c r="AN104" s="7" t="str">
        <f>IF(AG104&gt;=Hedef!$C$8,"evet","hayır")</f>
        <v>hayır</v>
      </c>
      <c r="AO104" s="7" t="str">
        <f>IF(AE104&lt;=Hedef!$C$14,"evet","hayır")</f>
        <v>evet</v>
      </c>
      <c r="AP104" s="10">
        <f>AB104/Hedef!$C$4</f>
        <v>-479.1666666666667</v>
      </c>
    </row>
    <row r="105">
      <c r="A105" s="7" t="str">
        <f>Secenekler!A105</f>
        <v>b2b-pazar-yeri-hizmeti-c</v>
      </c>
      <c r="B105" s="7" t="str">
        <f>Secenekler!C105</f>
        <v>Tam paket: strateji, ekran seti, backlog ve 90 gün koçluk</v>
      </c>
      <c r="C105" s="17" t="inlineStr">
        <is>
          <t>proje</t>
        </is>
      </c>
      <c r="D105" s="15" t="n">
        <v>250000</v>
      </c>
      <c r="E105" s="15" t="n">
        <v>15000</v>
      </c>
      <c r="F105" s="15" t="n">
        <v>11000</v>
      </c>
      <c r="G105" s="15" t="n">
        <v>15000</v>
      </c>
      <c r="H105" s="15" t="n">
        <v>120</v>
      </c>
      <c r="I105" s="15" t="n">
        <v>150</v>
      </c>
      <c r="J105" s="15" t="n">
        <v>240</v>
      </c>
      <c r="K105" s="15" t="n">
        <v>75</v>
      </c>
      <c r="L105" s="15" t="n">
        <v>180</v>
      </c>
      <c r="M105" s="15" t="n">
        <v>25</v>
      </c>
      <c r="N105" s="15" t="n">
        <v>180</v>
      </c>
      <c r="O105" s="15" t="n">
        <v>60</v>
      </c>
      <c r="P105" s="15" t="n">
        <v>0</v>
      </c>
      <c r="Q105" s="15" t="n">
        <v>100000</v>
      </c>
      <c r="R105" s="15" t="n">
        <v>250000</v>
      </c>
      <c r="S105" s="15" t="n">
        <v>0</v>
      </c>
      <c r="T105" s="15" t="n">
        <v>1</v>
      </c>
      <c r="U105" s="15" t="n">
        <v>1</v>
      </c>
      <c r="V105" s="15" t="n">
        <v>0</v>
      </c>
      <c r="W105" s="15" t="n">
        <v>1</v>
      </c>
      <c r="X105" s="15" t="n">
        <v>1</v>
      </c>
      <c r="Y105" s="21" t="n">
        <v>0.03</v>
      </c>
      <c r="Z105" s="21" t="n">
        <v>0.1</v>
      </c>
      <c r="AA105" s="10">
        <f>P105-S105*E105-6*F105-G105</f>
        <v>-81000</v>
      </c>
      <c r="AB105" s="10">
        <f>Q105-T105*E105-6*F105-G105</f>
        <v>4000</v>
      </c>
      <c r="AC105" s="10">
        <f>R105-U105*E105-6*F105-G105</f>
        <v>154000</v>
      </c>
      <c r="AD105" s="10">
        <f>J105+V105*M105+S105*(N105+O105/60)</f>
        <v>240</v>
      </c>
      <c r="AE105" s="10">
        <f>I105+W105*M105+T105*(N105+O105/60)</f>
        <v>356</v>
      </c>
      <c r="AF105" s="10">
        <f>H105+X105*M105+U105*(N105+O105/60)</f>
        <v>326</v>
      </c>
      <c r="AG105" s="10">
        <f>IF(AE105&gt;0,AB105/AE105,0)</f>
        <v>11.23595505617978</v>
      </c>
      <c r="AH105" s="10">
        <f>IF(W105&gt;0,(Q105-T105*E105)/W105,D105-E105)</f>
        <v>85000</v>
      </c>
      <c r="AI105" s="10">
        <f>IF(AH105&gt;0,(Hedef!$C$5+6*F105+G105)/AH105,0)</f>
        <v>2.647058823529412</v>
      </c>
      <c r="AJ105" s="10">
        <f>IF(AI105&gt;0,AI105/Z105,0)</f>
        <v>26.47058823529412</v>
      </c>
      <c r="AK105" s="10">
        <f>IF(AI105&gt;0,AI105/Y105,0)</f>
        <v>88.23529411764706</v>
      </c>
      <c r="AL105" s="10">
        <f>G105+F105*L105/30</f>
        <v>81000</v>
      </c>
      <c r="AM105" s="7" t="str">
        <f>IF(AB105&gt;=Hedef!$C$5,"evet","hayır")</f>
        <v>hayır</v>
      </c>
      <c r="AN105" s="7" t="str">
        <f>IF(AG105&gt;=Hedef!$C$8,"evet","hayır")</f>
        <v>hayır</v>
      </c>
      <c r="AO105" s="7" t="str">
        <f>IF(AE105&lt;=Hedef!$C$14,"evet","hayır")</f>
        <v>evet</v>
      </c>
      <c r="AP105" s="10">
        <f>AB105/Hedef!$C$4</f>
        <v>83.33333333333333</v>
      </c>
    </row>
    <row r="106">
      <c r="A106" s="7" t="str">
        <f>Secenekler!A106</f>
        <v>lifeos-a</v>
      </c>
      <c r="B106" s="7" t="str">
        <f>Secenekler!C106</f>
        <v>Günün Framework'ü: ücretsiz yan panel ve çalışma kâğıdı paketi</v>
      </c>
      <c r="C106" s="17" t="inlineStr">
        <is>
          <t>tek seferlik</t>
        </is>
      </c>
      <c r="D106" s="15" t="n">
        <v>199</v>
      </c>
      <c r="E106" s="15" t="n">
        <v>6</v>
      </c>
      <c r="F106" s="15" t="n">
        <v>500</v>
      </c>
      <c r="G106" s="15" t="n">
        <v>5500</v>
      </c>
      <c r="H106" s="15" t="n">
        <v>50</v>
      </c>
      <c r="I106" s="15" t="n">
        <v>80</v>
      </c>
      <c r="J106" s="15" t="n">
        <v>140</v>
      </c>
      <c r="K106" s="15" t="n">
        <v>60</v>
      </c>
      <c r="L106" s="15" t="n">
        <v>120</v>
      </c>
      <c r="M106" s="15" t="n">
        <v>1</v>
      </c>
      <c r="N106" s="15" t="n">
        <v>0</v>
      </c>
      <c r="O106" s="15" t="n">
        <v>5</v>
      </c>
      <c r="P106" s="15" t="n">
        <v>0</v>
      </c>
      <c r="Q106" s="15" t="n">
        <v>5970</v>
      </c>
      <c r="R106" s="15" t="n">
        <v>15920</v>
      </c>
      <c r="S106" s="15" t="n">
        <v>0</v>
      </c>
      <c r="T106" s="15" t="n">
        <v>30</v>
      </c>
      <c r="U106" s="15" t="n">
        <v>80</v>
      </c>
      <c r="V106" s="15" t="n">
        <v>0</v>
      </c>
      <c r="W106" s="15" t="n">
        <v>30</v>
      </c>
      <c r="X106" s="15" t="n">
        <v>80</v>
      </c>
      <c r="Y106" s="21" t="n">
        <v>0.01</v>
      </c>
      <c r="Z106" s="21" t="n">
        <v>0.03</v>
      </c>
      <c r="AA106" s="10">
        <f>P106-S106*E106-6*F106-G106</f>
        <v>-8500</v>
      </c>
      <c r="AB106" s="10">
        <f>Q106-T106*E106-6*F106-G106</f>
        <v>-2710</v>
      </c>
      <c r="AC106" s="10">
        <f>R106-U106*E106-6*F106-G106</f>
        <v>6940</v>
      </c>
      <c r="AD106" s="10">
        <f>J106+V106*M106+S106*(N106+O106/60)</f>
        <v>140</v>
      </c>
      <c r="AE106" s="10">
        <f>I106+W106*M106+T106*(N106+O106/60)</f>
        <v>112.5</v>
      </c>
      <c r="AF106" s="10">
        <f>H106+X106*M106+U106*(N106+O106/60)</f>
        <v>136.6666666666667</v>
      </c>
      <c r="AG106" s="10">
        <f>IF(AE106&gt;0,AB106/AE106,0)</f>
        <v>-24.08888888888889</v>
      </c>
      <c r="AH106" s="10">
        <f>IF(W106&gt;0,(Q106-T106*E106)/W106,D106-E106)</f>
        <v>193</v>
      </c>
      <c r="AI106" s="10">
        <f>IF(AH106&gt;0,(Hedef!$C$5+6*F106+G106)/AH106,0)</f>
        <v>790.1554404145078</v>
      </c>
      <c r="AJ106" s="10">
        <f>IF(AI106&gt;0,AI106/Z106,0)</f>
        <v>26338.51468048359</v>
      </c>
      <c r="AK106" s="10">
        <f>IF(AI106&gt;0,AI106/Y106,0)</f>
        <v>79015.54404145078</v>
      </c>
      <c r="AL106" s="10">
        <f>G106+F106*L106/30</f>
        <v>7500</v>
      </c>
      <c r="AM106" s="7" t="str">
        <f>IF(AB106&gt;=Hedef!$C$5,"evet","hayır")</f>
        <v>hayır</v>
      </c>
      <c r="AN106" s="7" t="str">
        <f>IF(AG106&gt;=Hedef!$C$8,"evet","hayır")</f>
        <v>hayır</v>
      </c>
      <c r="AO106" s="7" t="str">
        <f>IF(AE106&lt;=Hedef!$C$14,"evet","hayır")</f>
        <v>evet</v>
      </c>
      <c r="AP106" s="10">
        <f>AB106/Hedef!$C$4</f>
        <v>-56.45833333333334</v>
      </c>
    </row>
    <row r="107">
      <c r="A107" s="7" t="str">
        <f>Secenekler!A107</f>
        <v>lifeos-b</v>
      </c>
      <c r="B107" s="7" t="str">
        <f>Secenekler!C107</f>
        <v>Freelancer haftalık çalışma kaydı: yerel CSV ve kurulum paketi</v>
      </c>
      <c r="C107" s="17" t="inlineStr">
        <is>
          <t>tek seferlik</t>
        </is>
      </c>
      <c r="D107" s="15" t="n">
        <v>600</v>
      </c>
      <c r="E107" s="15" t="n">
        <v>70</v>
      </c>
      <c r="F107" s="15" t="n">
        <v>300</v>
      </c>
      <c r="G107" s="15" t="n">
        <v>1500</v>
      </c>
      <c r="H107" s="15" t="n">
        <v>60</v>
      </c>
      <c r="I107" s="15" t="n">
        <v>100</v>
      </c>
      <c r="J107" s="15" t="n">
        <v>160</v>
      </c>
      <c r="K107" s="15" t="n">
        <v>45</v>
      </c>
      <c r="L107" s="15" t="n">
        <v>120</v>
      </c>
      <c r="M107" s="15" t="n">
        <v>2</v>
      </c>
      <c r="N107" s="15" t="n">
        <v>1</v>
      </c>
      <c r="O107" s="15" t="n">
        <v>15</v>
      </c>
      <c r="P107" s="15" t="n">
        <v>0</v>
      </c>
      <c r="Q107" s="15" t="n">
        <v>1800</v>
      </c>
      <c r="R107" s="15" t="n">
        <v>12000</v>
      </c>
      <c r="S107" s="15" t="n">
        <v>0</v>
      </c>
      <c r="T107" s="15" t="n">
        <v>3</v>
      </c>
      <c r="U107" s="15" t="n">
        <v>20</v>
      </c>
      <c r="V107" s="15" t="n">
        <v>0</v>
      </c>
      <c r="W107" s="15" t="n">
        <v>3</v>
      </c>
      <c r="X107" s="15" t="n">
        <v>20</v>
      </c>
      <c r="Y107" s="21" t="n">
        <v>0.02</v>
      </c>
      <c r="Z107" s="21" t="n">
        <v>0.1</v>
      </c>
      <c r="AA107" s="10">
        <f>P107-S107*E107-6*F107-G107</f>
        <v>-3300</v>
      </c>
      <c r="AB107" s="10">
        <f>Q107-T107*E107-6*F107-G107</f>
        <v>-1710</v>
      </c>
      <c r="AC107" s="10">
        <f>R107-U107*E107-6*F107-G107</f>
        <v>7300</v>
      </c>
      <c r="AD107" s="10">
        <f>J107+V107*M107+S107*(N107+O107/60)</f>
        <v>160</v>
      </c>
      <c r="AE107" s="10">
        <f>I107+W107*M107+T107*(N107+O107/60)</f>
        <v>109.75</v>
      </c>
      <c r="AF107" s="10">
        <f>H107+X107*M107+U107*(N107+O107/60)</f>
        <v>125</v>
      </c>
      <c r="AG107" s="10">
        <f>IF(AE107&gt;0,AB107/AE107,0)</f>
        <v>-15.58086560364465</v>
      </c>
      <c r="AH107" s="10">
        <f>IF(W107&gt;0,(Q107-T107*E107)/W107,D107-E107)</f>
        <v>530</v>
      </c>
      <c r="AI107" s="10">
        <f>IF(AH107&gt;0,(Hedef!$C$5+6*F107+G107)/AH107,0)</f>
        <v>277.9245283018868</v>
      </c>
      <c r="AJ107" s="10">
        <f>IF(AI107&gt;0,AI107/Z107,0)</f>
        <v>2779.245283018868</v>
      </c>
      <c r="AK107" s="10">
        <f>IF(AI107&gt;0,AI107/Y107,0)</f>
        <v>13896.22641509434</v>
      </c>
      <c r="AL107" s="10">
        <f>G107+F107*L107/30</f>
        <v>2700</v>
      </c>
      <c r="AM107" s="7" t="str">
        <f>IF(AB107&gt;=Hedef!$C$5,"evet","hayır")</f>
        <v>hayır</v>
      </c>
      <c r="AN107" s="7" t="str">
        <f>IF(AG107&gt;=Hedef!$C$8,"evet","hayır")</f>
        <v>hayır</v>
      </c>
      <c r="AO107" s="7" t="str">
        <f>IF(AE107&lt;=Hedef!$C$14,"evet","hayır")</f>
        <v>evet</v>
      </c>
      <c r="AP107" s="10">
        <f>AB107/Hedef!$C$4</f>
        <v>-35.625</v>
      </c>
    </row>
    <row r="108">
      <c r="A108" s="7" t="str">
        <f>Secenekler!A108</f>
        <v>lifeos-c</v>
      </c>
      <c r="B108" s="7" t="str">
        <f>Secenekler!C108</f>
        <v>Tek rutin yeni sekme şablonu: açık çekirdek ve ücretli kit</v>
      </c>
      <c r="C108" s="17" t="inlineStr">
        <is>
          <t>tek seferlik</t>
        </is>
      </c>
      <c r="D108" s="15" t="n">
        <v>912</v>
      </c>
      <c r="E108" s="15" t="n">
        <v>70</v>
      </c>
      <c r="F108" s="15" t="n">
        <v>0</v>
      </c>
      <c r="G108" s="15" t="n">
        <v>1000</v>
      </c>
      <c r="H108" s="15" t="n">
        <v>50</v>
      </c>
      <c r="I108" s="15" t="n">
        <v>90</v>
      </c>
      <c r="J108" s="15" t="n">
        <v>150</v>
      </c>
      <c r="K108" s="15" t="n">
        <v>40</v>
      </c>
      <c r="L108" s="15" t="n">
        <v>120</v>
      </c>
      <c r="M108" s="15" t="n">
        <v>2</v>
      </c>
      <c r="N108" s="15" t="n">
        <v>0</v>
      </c>
      <c r="O108" s="15" t="n">
        <v>15</v>
      </c>
      <c r="P108" s="15" t="n">
        <v>0</v>
      </c>
      <c r="Q108" s="15" t="n">
        <v>1824</v>
      </c>
      <c r="R108" s="15" t="n">
        <v>13680</v>
      </c>
      <c r="S108" s="15" t="n">
        <v>0</v>
      </c>
      <c r="T108" s="15" t="n">
        <v>2</v>
      </c>
      <c r="U108" s="15" t="n">
        <v>15</v>
      </c>
      <c r="V108" s="15" t="n">
        <v>0</v>
      </c>
      <c r="W108" s="15" t="n">
        <v>2</v>
      </c>
      <c r="X108" s="15" t="n">
        <v>15</v>
      </c>
      <c r="Y108" s="21" t="n">
        <v>0.005</v>
      </c>
      <c r="Z108" s="21" t="n">
        <v>0.03</v>
      </c>
      <c r="AA108" s="10">
        <f>P108-S108*E108-6*F108-G108</f>
        <v>-1000</v>
      </c>
      <c r="AB108" s="10">
        <f>Q108-T108*E108-6*F108-G108</f>
        <v>684</v>
      </c>
      <c r="AC108" s="10">
        <f>R108-U108*E108-6*F108-G108</f>
        <v>11630</v>
      </c>
      <c r="AD108" s="10">
        <f>J108+V108*M108+S108*(N108+O108/60)</f>
        <v>150</v>
      </c>
      <c r="AE108" s="10">
        <f>I108+W108*M108+T108*(N108+O108/60)</f>
        <v>94.5</v>
      </c>
      <c r="AF108" s="10">
        <f>H108+X108*M108+U108*(N108+O108/60)</f>
        <v>83.75</v>
      </c>
      <c r="AG108" s="10">
        <f>IF(AE108&gt;0,AB108/AE108,0)</f>
        <v>7.238095238095238</v>
      </c>
      <c r="AH108" s="10">
        <f>IF(W108&gt;0,(Q108-T108*E108)/W108,D108-E108)</f>
        <v>842</v>
      </c>
      <c r="AI108" s="10">
        <f>IF(AH108&gt;0,(Hedef!$C$5+6*F108+G108)/AH108,0)</f>
        <v>172.209026128266</v>
      </c>
      <c r="AJ108" s="10">
        <f>IF(AI108&gt;0,AI108/Z108,0)</f>
        <v>5740.300870942201</v>
      </c>
      <c r="AK108" s="10">
        <f>IF(AI108&gt;0,AI108/Y108,0)</f>
        <v>34441.8052256532</v>
      </c>
      <c r="AL108" s="10">
        <f>G108+F108*L108/30</f>
        <v>1000</v>
      </c>
      <c r="AM108" s="7" t="str">
        <f>IF(AB108&gt;=Hedef!$C$5,"evet","hayır")</f>
        <v>hayır</v>
      </c>
      <c r="AN108" s="7" t="str">
        <f>IF(AG108&gt;=Hedef!$C$8,"evet","hayır")</f>
        <v>hayır</v>
      </c>
      <c r="AO108" s="7" t="str">
        <f>IF(AE108&lt;=Hedef!$C$14,"evet","hayır")</f>
        <v>evet</v>
      </c>
      <c r="AP108" s="10">
        <f>AB108/Hedef!$C$4</f>
        <v>14.25</v>
      </c>
    </row>
    <row r="109">
      <c r="A109" s="7" t="str">
        <f>Secenekler!A109</f>
        <v>luquit-a</v>
      </c>
      <c r="B109" s="7" t="str">
        <f>Secenekler!C109</f>
        <v>Emlakçı CRM Lite aylık abonelik (bağımsız ofis)</v>
      </c>
      <c r="C109" s="17" t="inlineStr">
        <is>
          <t>aylık abonelik</t>
        </is>
      </c>
      <c r="D109" s="15" t="n">
        <v>850</v>
      </c>
      <c r="E109" s="15" t="n">
        <v>80</v>
      </c>
      <c r="F109" s="15" t="n">
        <v>4000</v>
      </c>
      <c r="G109" s="15" t="n">
        <v>36000</v>
      </c>
      <c r="H109" s="15" t="n">
        <v>160</v>
      </c>
      <c r="I109" s="15" t="n">
        <v>220</v>
      </c>
      <c r="J109" s="15" t="n">
        <v>320</v>
      </c>
      <c r="K109" s="15" t="n">
        <v>120</v>
      </c>
      <c r="L109" s="15" t="n">
        <v>180</v>
      </c>
      <c r="M109" s="15" t="n">
        <v>6</v>
      </c>
      <c r="N109" s="15" t="n">
        <v>2.4</v>
      </c>
      <c r="O109" s="15" t="n">
        <v>30</v>
      </c>
      <c r="P109" s="15" t="n">
        <v>0</v>
      </c>
      <c r="Q109" s="15" t="n">
        <v>4250</v>
      </c>
      <c r="R109" s="15" t="n">
        <v>16150</v>
      </c>
      <c r="S109" s="15" t="n">
        <v>0</v>
      </c>
      <c r="T109" s="15" t="n">
        <v>5</v>
      </c>
      <c r="U109" s="15" t="n">
        <v>19</v>
      </c>
      <c r="V109" s="15" t="n">
        <v>0</v>
      </c>
      <c r="W109" s="15" t="n">
        <v>3</v>
      </c>
      <c r="X109" s="15" t="n">
        <v>10</v>
      </c>
      <c r="Y109" s="21" t="n">
        <v>0.05</v>
      </c>
      <c r="Z109" s="21" t="n">
        <v>0.2</v>
      </c>
      <c r="AA109" s="10">
        <f>P109-S109*E109-6*F109-G109</f>
        <v>-60000</v>
      </c>
      <c r="AB109" s="10">
        <f>Q109-T109*E109-6*F109-G109</f>
        <v>-56150</v>
      </c>
      <c r="AC109" s="10">
        <f>R109-U109*E109-6*F109-G109</f>
        <v>-45370</v>
      </c>
      <c r="AD109" s="10">
        <f>J109+V109*M109+S109*(N109+O109/60)</f>
        <v>320</v>
      </c>
      <c r="AE109" s="10">
        <f>I109+W109*M109+T109*(N109+O109/60)</f>
        <v>252.5</v>
      </c>
      <c r="AF109" s="10">
        <f>H109+X109*M109+U109*(N109+O109/60)</f>
        <v>275.1</v>
      </c>
      <c r="AG109" s="10">
        <f>IF(AE109&gt;0,AB109/AE109,0)</f>
        <v>-222.3762376237624</v>
      </c>
      <c r="AH109" s="10">
        <f>IF(W109&gt;0,(Q109-T109*E109)/W109,D109-E109)</f>
        <v>1283.333333333333</v>
      </c>
      <c r="AI109" s="10">
        <f>IF(AH109&gt;0,(Hedef!$C$5+6*F109+G109)/AH109,0)</f>
        <v>158.961038961039</v>
      </c>
      <c r="AJ109" s="10">
        <f>IF(AI109&gt;0,AI109/Z109,0)</f>
        <v>794.8051948051949</v>
      </c>
      <c r="AK109" s="10">
        <f>IF(AI109&gt;0,AI109/Y109,0)</f>
        <v>3179.22077922078</v>
      </c>
      <c r="AL109" s="10">
        <f>G109+F109*L109/30</f>
        <v>60000</v>
      </c>
      <c r="AM109" s="7" t="str">
        <f>IF(AB109&gt;=Hedef!$C$5,"evet","hayır")</f>
        <v>hayır</v>
      </c>
      <c r="AN109" s="7" t="str">
        <f>IF(AG109&gt;=Hedef!$C$8,"evet","hayır")</f>
        <v>hayır</v>
      </c>
      <c r="AO109" s="7" t="str">
        <f>IF(AE109&lt;=Hedef!$C$14,"evet","hayır")</f>
        <v>evet</v>
      </c>
      <c r="AP109" s="10">
        <f>AB109/Hedef!$C$4</f>
        <v>-1169.791666666667</v>
      </c>
    </row>
    <row r="110">
      <c r="A110" s="7" t="str">
        <f>Secenekler!A110</f>
        <v>luquit-b</v>
      </c>
      <c r="B110" s="7" t="str">
        <f>Secenekler!C110</f>
        <v>Destekli cam arayüz yolculuk kiti (ajans ve freelancer)</v>
      </c>
      <c r="C110" s="17" t="inlineStr">
        <is>
          <t>tek seferlik</t>
        </is>
      </c>
      <c r="D110" s="15" t="n">
        <v>1500</v>
      </c>
      <c r="E110" s="15" t="n">
        <v>675</v>
      </c>
      <c r="F110" s="15" t="n">
        <v>500</v>
      </c>
      <c r="G110" s="15" t="n">
        <v>3000</v>
      </c>
      <c r="H110" s="15" t="n">
        <v>60</v>
      </c>
      <c r="I110" s="15" t="n">
        <v>100</v>
      </c>
      <c r="J110" s="15" t="n">
        <v>150</v>
      </c>
      <c r="K110" s="15" t="n">
        <v>45</v>
      </c>
      <c r="L110" s="15" t="n">
        <v>90</v>
      </c>
      <c r="M110" s="15" t="n">
        <v>3</v>
      </c>
      <c r="N110" s="15" t="n">
        <v>0</v>
      </c>
      <c r="O110" s="15" t="n">
        <v>45</v>
      </c>
      <c r="P110" s="15" t="n">
        <v>0</v>
      </c>
      <c r="Q110" s="15" t="n">
        <v>3000</v>
      </c>
      <c r="R110" s="15" t="n">
        <v>18000</v>
      </c>
      <c r="S110" s="15" t="n">
        <v>0</v>
      </c>
      <c r="T110" s="15" t="n">
        <v>2</v>
      </c>
      <c r="U110" s="15" t="n">
        <v>12</v>
      </c>
      <c r="V110" s="15" t="n">
        <v>0</v>
      </c>
      <c r="W110" s="15" t="n">
        <v>2</v>
      </c>
      <c r="X110" s="15" t="n">
        <v>12</v>
      </c>
      <c r="Y110" s="21" t="n">
        <v>0.02</v>
      </c>
      <c r="Z110" s="21" t="n">
        <v>0.05</v>
      </c>
      <c r="AA110" s="10">
        <f>P110-S110*E110-6*F110-G110</f>
        <v>-6000</v>
      </c>
      <c r="AB110" s="10">
        <f>Q110-T110*E110-6*F110-G110</f>
        <v>-4350</v>
      </c>
      <c r="AC110" s="10">
        <f>R110-U110*E110-6*F110-G110</f>
        <v>3900</v>
      </c>
      <c r="AD110" s="10">
        <f>J110+V110*M110+S110*(N110+O110/60)</f>
        <v>150</v>
      </c>
      <c r="AE110" s="10">
        <f>I110+W110*M110+T110*(N110+O110/60)</f>
        <v>107.5</v>
      </c>
      <c r="AF110" s="10">
        <f>H110+X110*M110+U110*(N110+O110/60)</f>
        <v>105</v>
      </c>
      <c r="AG110" s="10">
        <f>IF(AE110&gt;0,AB110/AE110,0)</f>
        <v>-40.46511627906977</v>
      </c>
      <c r="AH110" s="10">
        <f>IF(W110&gt;0,(Q110-T110*E110)/W110,D110-E110)</f>
        <v>825</v>
      </c>
      <c r="AI110" s="10">
        <f>IF(AH110&gt;0,(Hedef!$C$5+6*F110+G110)/AH110,0)</f>
        <v>181.8181818181818</v>
      </c>
      <c r="AJ110" s="10">
        <f>IF(AI110&gt;0,AI110/Z110,0)</f>
        <v>3636.363636363636</v>
      </c>
      <c r="AK110" s="10">
        <f>IF(AI110&gt;0,AI110/Y110,0)</f>
        <v>9090.90909090909</v>
      </c>
      <c r="AL110" s="10">
        <f>G110+F110*L110/30</f>
        <v>4500</v>
      </c>
      <c r="AM110" s="7" t="str">
        <f>IF(AB110&gt;=Hedef!$C$5,"evet","hayır")</f>
        <v>hayır</v>
      </c>
      <c r="AN110" s="7" t="str">
        <f>IF(AG110&gt;=Hedef!$C$8,"evet","hayır")</f>
        <v>hayır</v>
      </c>
      <c r="AO110" s="7" t="str">
        <f>IF(AE110&lt;=Hedef!$C$14,"evet","hayır")</f>
        <v>evet</v>
      </c>
      <c r="AP110" s="10">
        <f>AB110/Hedef!$C$4</f>
        <v>-90.625</v>
      </c>
    </row>
    <row r="111">
      <c r="A111" s="7" t="str">
        <f>Secenekler!A111</f>
        <v>metaframer-kernel-a</v>
      </c>
      <c r="B111" s="7" t="str">
        <f>Secenekler!C111</f>
        <v>tenantkit lisanslı kit (Solo ve Team, küresel)</v>
      </c>
      <c r="C111" s="17" t="inlineStr">
        <is>
          <t>tek seferlik</t>
        </is>
      </c>
      <c r="D111" s="15" t="n">
        <v>8592</v>
      </c>
      <c r="E111" s="15" t="n">
        <v>460</v>
      </c>
      <c r="F111" s="15" t="n">
        <v>5500</v>
      </c>
      <c r="G111" s="15" t="n">
        <v>12000</v>
      </c>
      <c r="H111" s="15" t="n">
        <v>110</v>
      </c>
      <c r="I111" s="15" t="n">
        <v>200</v>
      </c>
      <c r="J111" s="15" t="n">
        <v>300</v>
      </c>
      <c r="K111" s="15" t="n">
        <v>50</v>
      </c>
      <c r="L111" s="15" t="n">
        <v>120</v>
      </c>
      <c r="M111" s="15" t="n">
        <v>2</v>
      </c>
      <c r="N111" s="15" t="n">
        <v>0</v>
      </c>
      <c r="O111" s="15" t="n">
        <v>20</v>
      </c>
      <c r="P111" s="15" t="n">
        <v>17184</v>
      </c>
      <c r="Q111" s="15" t="n">
        <v>103104</v>
      </c>
      <c r="R111" s="15" t="n">
        <v>257760</v>
      </c>
      <c r="S111" s="15" t="n">
        <v>2</v>
      </c>
      <c r="T111" s="15" t="n">
        <v>12</v>
      </c>
      <c r="U111" s="15" t="n">
        <v>30</v>
      </c>
      <c r="V111" s="15" t="n">
        <v>2</v>
      </c>
      <c r="W111" s="15" t="n">
        <v>12</v>
      </c>
      <c r="X111" s="15" t="n">
        <v>30</v>
      </c>
      <c r="Y111" s="21" t="n">
        <v>0.02</v>
      </c>
      <c r="Z111" s="21" t="n">
        <v>0.05</v>
      </c>
      <c r="AA111" s="10">
        <f>P111-S111*E111-6*F111-G111</f>
        <v>-28736</v>
      </c>
      <c r="AB111" s="10">
        <f>Q111-T111*E111-6*F111-G111</f>
        <v>52584</v>
      </c>
      <c r="AC111" s="10">
        <f>R111-U111*E111-6*F111-G111</f>
        <v>198960</v>
      </c>
      <c r="AD111" s="10">
        <f>J111+V111*M111+S111*(N111+O111/60)</f>
        <v>304.6666666666667</v>
      </c>
      <c r="AE111" s="10">
        <f>I111+W111*M111+T111*(N111+O111/60)</f>
        <v>228</v>
      </c>
      <c r="AF111" s="10">
        <f>H111+X111*M111+U111*(N111+O111/60)</f>
        <v>180</v>
      </c>
      <c r="AG111" s="10">
        <f>IF(AE111&gt;0,AB111/AE111,0)</f>
        <v>230.6315789473684</v>
      </c>
      <c r="AH111" s="10">
        <f>IF(W111&gt;0,(Q111-T111*E111)/W111,D111-E111)</f>
        <v>8132</v>
      </c>
      <c r="AI111" s="10">
        <f>IF(AH111&gt;0,(Hedef!$C$5+6*F111+G111)/AH111,0)</f>
        <v>23.24151500245942</v>
      </c>
      <c r="AJ111" s="10">
        <f>IF(AI111&gt;0,AI111/Z111,0)</f>
        <v>464.8303000491883</v>
      </c>
      <c r="AK111" s="10">
        <f>IF(AI111&gt;0,AI111/Y111,0)</f>
        <v>1162.075750122971</v>
      </c>
      <c r="AL111" s="10">
        <f>G111+F111*L111/30</f>
        <v>34000</v>
      </c>
      <c r="AM111" s="7" t="str">
        <f>IF(AB111&gt;=Hedef!$C$5,"evet","hayır")</f>
        <v>hayır</v>
      </c>
      <c r="AN111" s="7" t="str">
        <f>IF(AG111&gt;=Hedef!$C$8,"evet","hayır")</f>
        <v>hayır</v>
      </c>
      <c r="AO111" s="7" t="str">
        <f>IF(AE111&lt;=Hedef!$C$14,"evet","hayır")</f>
        <v>evet</v>
      </c>
      <c r="AP111" s="10">
        <f>AB111/Hedef!$C$4</f>
        <v>1095.5</v>
      </c>
    </row>
    <row r="112">
      <c r="A112" s="7" t="str">
        <f>Secenekler!A112</f>
        <v>metaframer-kernel-b</v>
      </c>
      <c r="B112" s="7" t="str">
        <f>Secenekler!C112</f>
        <v>Ajans paketi: Team lisansı ve 1 günlük atölye (Türkiye)</v>
      </c>
      <c r="C112" s="17" t="inlineStr">
        <is>
          <t>proje</t>
        </is>
      </c>
      <c r="D112" s="15" t="n">
        <v>40000</v>
      </c>
      <c r="E112" s="15" t="n">
        <v>1800</v>
      </c>
      <c r="F112" s="15" t="n">
        <v>3000</v>
      </c>
      <c r="G112" s="15" t="n">
        <v>12000</v>
      </c>
      <c r="H112" s="15" t="n">
        <v>140</v>
      </c>
      <c r="I112" s="15" t="n">
        <v>230</v>
      </c>
      <c r="J112" s="15" t="n">
        <v>330</v>
      </c>
      <c r="K112" s="15" t="n">
        <v>60</v>
      </c>
      <c r="L112" s="15" t="n">
        <v>150</v>
      </c>
      <c r="M112" s="15" t="n">
        <v>12</v>
      </c>
      <c r="N112" s="15" t="n">
        <v>18</v>
      </c>
      <c r="O112" s="15" t="n">
        <v>60</v>
      </c>
      <c r="P112" s="15" t="n">
        <v>0</v>
      </c>
      <c r="Q112" s="15" t="n">
        <v>40000</v>
      </c>
      <c r="R112" s="15" t="n">
        <v>120000</v>
      </c>
      <c r="S112" s="15" t="n">
        <v>0</v>
      </c>
      <c r="T112" s="15" t="n">
        <v>1</v>
      </c>
      <c r="U112" s="15" t="n">
        <v>3</v>
      </c>
      <c r="V112" s="15" t="n">
        <v>0</v>
      </c>
      <c r="W112" s="15" t="n">
        <v>1</v>
      </c>
      <c r="X112" s="15" t="n">
        <v>3</v>
      </c>
      <c r="Y112" s="21" t="n">
        <v>0.1</v>
      </c>
      <c r="Z112" s="21" t="n">
        <v>0.3</v>
      </c>
      <c r="AA112" s="10">
        <f>P112-S112*E112-6*F112-G112</f>
        <v>-30000</v>
      </c>
      <c r="AB112" s="10">
        <f>Q112-T112*E112-6*F112-G112</f>
        <v>8200</v>
      </c>
      <c r="AC112" s="10">
        <f>R112-U112*E112-6*F112-G112</f>
        <v>84600</v>
      </c>
      <c r="AD112" s="10">
        <f>J112+V112*M112+S112*(N112+O112/60)</f>
        <v>330</v>
      </c>
      <c r="AE112" s="10">
        <f>I112+W112*M112+T112*(N112+O112/60)</f>
        <v>261</v>
      </c>
      <c r="AF112" s="10">
        <f>H112+X112*M112+U112*(N112+O112/60)</f>
        <v>233</v>
      </c>
      <c r="AG112" s="10">
        <f>IF(AE112&gt;0,AB112/AE112,0)</f>
        <v>31.4176245210728</v>
      </c>
      <c r="AH112" s="10">
        <f>IF(W112&gt;0,(Q112-T112*E112)/W112,D112-E112)</f>
        <v>38200</v>
      </c>
      <c r="AI112" s="10">
        <f>IF(AH112&gt;0,(Hedef!$C$5+6*F112+G112)/AH112,0)</f>
        <v>4.554973821989528</v>
      </c>
      <c r="AJ112" s="10">
        <f>IF(AI112&gt;0,AI112/Z112,0)</f>
        <v>15.18324607329843</v>
      </c>
      <c r="AK112" s="10">
        <f>IF(AI112&gt;0,AI112/Y112,0)</f>
        <v>45.54973821989528</v>
      </c>
      <c r="AL112" s="10">
        <f>G112+F112*L112/30</f>
        <v>27000</v>
      </c>
      <c r="AM112" s="7" t="str">
        <f>IF(AB112&gt;=Hedef!$C$5,"evet","hayır")</f>
        <v>hayır</v>
      </c>
      <c r="AN112" s="7" t="str">
        <f>IF(AG112&gt;=Hedef!$C$8,"evet","hayır")</f>
        <v>hayır</v>
      </c>
      <c r="AO112" s="7" t="str">
        <f>IF(AE112&lt;=Hedef!$C$14,"evet","hayır")</f>
        <v>evet</v>
      </c>
      <c r="AP112" s="10">
        <f>AB112/Hedef!$C$4</f>
        <v>170.8333333333333</v>
      </c>
    </row>
    <row r="113">
      <c r="A113" s="7" t="str">
        <f>Secenekler!A113</f>
        <v>metaframer-kernel-c</v>
      </c>
      <c r="B113" s="7" t="str">
        <f>Secenekler!C113</f>
        <v>Tek eylem çok kiracılı güvenlik entegrasyon paketi</v>
      </c>
      <c r="C113" s="17" t="inlineStr">
        <is>
          <t>proje</t>
        </is>
      </c>
      <c r="D113" s="15" t="n">
        <v>72000</v>
      </c>
      <c r="E113" s="15" t="n">
        <v>1100</v>
      </c>
      <c r="F113" s="15" t="n">
        <v>1500</v>
      </c>
      <c r="G113" s="15" t="n">
        <v>4000</v>
      </c>
      <c r="H113" s="15" t="n">
        <v>50</v>
      </c>
      <c r="I113" s="15" t="n">
        <v>90</v>
      </c>
      <c r="J113" s="15" t="n">
        <v>150</v>
      </c>
      <c r="K113" s="15" t="n">
        <v>30</v>
      </c>
      <c r="L113" s="15" t="n">
        <v>120</v>
      </c>
      <c r="M113" s="15" t="n">
        <v>50</v>
      </c>
      <c r="N113" s="15" t="n">
        <v>32</v>
      </c>
      <c r="O113" s="15" t="n">
        <v>120</v>
      </c>
      <c r="P113" s="15" t="n">
        <v>0</v>
      </c>
      <c r="Q113" s="15" t="n">
        <v>72000</v>
      </c>
      <c r="R113" s="15" t="n">
        <v>216000</v>
      </c>
      <c r="S113" s="15" t="n">
        <v>0</v>
      </c>
      <c r="T113" s="15" t="n">
        <v>1</v>
      </c>
      <c r="U113" s="15" t="n">
        <v>3</v>
      </c>
      <c r="V113" s="15" t="n">
        <v>0</v>
      </c>
      <c r="W113" s="15" t="n">
        <v>1</v>
      </c>
      <c r="X113" s="15" t="n">
        <v>3</v>
      </c>
      <c r="Y113" s="21" t="n">
        <v>0.05</v>
      </c>
      <c r="Z113" s="21" t="n">
        <v>0.15</v>
      </c>
      <c r="AA113" s="10">
        <f>P113-S113*E113-6*F113-G113</f>
        <v>-13000</v>
      </c>
      <c r="AB113" s="10">
        <f>Q113-T113*E113-6*F113-G113</f>
        <v>57900</v>
      </c>
      <c r="AC113" s="10">
        <f>R113-U113*E113-6*F113-G113</f>
        <v>199700</v>
      </c>
      <c r="AD113" s="10">
        <f>J113+V113*M113+S113*(N113+O113/60)</f>
        <v>150</v>
      </c>
      <c r="AE113" s="10">
        <f>I113+W113*M113+T113*(N113+O113/60)</f>
        <v>174</v>
      </c>
      <c r="AF113" s="10">
        <f>H113+X113*M113+U113*(N113+O113/60)</f>
        <v>302</v>
      </c>
      <c r="AG113" s="10">
        <f>IF(AE113&gt;0,AB113/AE113,0)</f>
        <v>332.7586206896552</v>
      </c>
      <c r="AH113" s="10">
        <f>IF(W113&gt;0,(Q113-T113*E113)/W113,D113-E113)</f>
        <v>70900</v>
      </c>
      <c r="AI113" s="10">
        <f>IF(AH113&gt;0,(Hedef!$C$5+6*F113+G113)/AH113,0)</f>
        <v>2.214386459802539</v>
      </c>
      <c r="AJ113" s="10">
        <f>IF(AI113&gt;0,AI113/Z113,0)</f>
        <v>14.76257639868359</v>
      </c>
      <c r="AK113" s="10">
        <f>IF(AI113&gt;0,AI113/Y113,0)</f>
        <v>44.28772919605078</v>
      </c>
      <c r="AL113" s="10">
        <f>G113+F113*L113/30</f>
        <v>10000</v>
      </c>
      <c r="AM113" s="7" t="str">
        <f>IF(AB113&gt;=Hedef!$C$5,"evet","hayır")</f>
        <v>hayır</v>
      </c>
      <c r="AN113" s="7" t="str">
        <f>IF(AG113&gt;=Hedef!$C$8,"evet","hayır")</f>
        <v>hayır</v>
      </c>
      <c r="AO113" s="7" t="str">
        <f>IF(AE113&lt;=Hedef!$C$14,"evet","hayır")</f>
        <v>evet</v>
      </c>
      <c r="AP113" s="10">
        <f>AB113/Hedef!$C$4</f>
        <v>1206.25</v>
      </c>
    </row>
    <row r="114">
      <c r="A114" s="7" t="str">
        <f>Secenekler!A114</f>
        <v>alan-adi-bulucu-a</v>
      </c>
      <c r="B114" s="7" t="str">
        <f>Secenekler!C114</f>
        <v>Proje paketi: Türkçe puanlı boş .com kısa liste aracı</v>
      </c>
      <c r="C114" s="17" t="inlineStr">
        <is>
          <t>tek seferlik</t>
        </is>
      </c>
      <c r="D114" s="15" t="n">
        <v>166</v>
      </c>
      <c r="E114" s="15" t="n">
        <v>9</v>
      </c>
      <c r="F114" s="15" t="n">
        <v>900</v>
      </c>
      <c r="G114" s="15" t="n">
        <v>3000</v>
      </c>
      <c r="H114" s="15" t="n">
        <v>24</v>
      </c>
      <c r="I114" s="15" t="n">
        <v>64</v>
      </c>
      <c r="J114" s="15" t="n">
        <v>80</v>
      </c>
      <c r="K114" s="15" t="n">
        <v>21</v>
      </c>
      <c r="L114" s="15" t="n">
        <v>75</v>
      </c>
      <c r="M114" s="15" t="n">
        <v>0.5</v>
      </c>
      <c r="N114" s="15" t="n">
        <v>0</v>
      </c>
      <c r="O114" s="15" t="n">
        <v>5</v>
      </c>
      <c r="P114" s="15" t="n">
        <v>1660</v>
      </c>
      <c r="Q114" s="15" t="n">
        <v>4980</v>
      </c>
      <c r="R114" s="15" t="n">
        <v>16600</v>
      </c>
      <c r="S114" s="15" t="n">
        <v>10</v>
      </c>
      <c r="T114" s="15" t="n">
        <v>30</v>
      </c>
      <c r="U114" s="15" t="n">
        <v>100</v>
      </c>
      <c r="V114" s="15" t="n">
        <v>10</v>
      </c>
      <c r="W114" s="15" t="n">
        <v>30</v>
      </c>
      <c r="X114" s="15" t="n">
        <v>100</v>
      </c>
      <c r="Y114" s="21" t="n">
        <v>0.01</v>
      </c>
      <c r="Z114" s="21" t="n">
        <v>0.03</v>
      </c>
      <c r="AA114" s="10">
        <f>P114-S114*E114-6*F114-G114</f>
        <v>-6830</v>
      </c>
      <c r="AB114" s="10">
        <f>Q114-T114*E114-6*F114-G114</f>
        <v>-3690</v>
      </c>
      <c r="AC114" s="10">
        <f>R114-U114*E114-6*F114-G114</f>
        <v>7300</v>
      </c>
      <c r="AD114" s="10">
        <f>J114+V114*M114+S114*(N114+O114/60)</f>
        <v>85.83333333333333</v>
      </c>
      <c r="AE114" s="10">
        <f>I114+W114*M114+T114*(N114+O114/60)</f>
        <v>81.5</v>
      </c>
      <c r="AF114" s="10">
        <f>H114+X114*M114+U114*(N114+O114/60)</f>
        <v>82.33333333333333</v>
      </c>
      <c r="AG114" s="10">
        <f>IF(AE114&gt;0,AB114/AE114,0)</f>
        <v>-45.2760736196319</v>
      </c>
      <c r="AH114" s="10">
        <f>IF(W114&gt;0,(Q114-T114*E114)/W114,D114-E114)</f>
        <v>157</v>
      </c>
      <c r="AI114" s="10">
        <f>IF(AH114&gt;0,(Hedef!$C$5+6*F114+G114)/AH114,0)</f>
        <v>970.7006369426751</v>
      </c>
      <c r="AJ114" s="10">
        <f>IF(AI114&gt;0,AI114/Z114,0)</f>
        <v>32356.68789808917</v>
      </c>
      <c r="AK114" s="10">
        <f>IF(AI114&gt;0,AI114/Y114,0)</f>
        <v>97070.06369426752</v>
      </c>
      <c r="AL114" s="10">
        <f>G114+F114*L114/30</f>
        <v>5250</v>
      </c>
      <c r="AM114" s="7" t="str">
        <f>IF(AB114&gt;=Hedef!$C$5,"evet","hayır")</f>
        <v>hayır</v>
      </c>
      <c r="AN114" s="7" t="str">
        <f>IF(AG114&gt;=Hedef!$C$8,"evet","hayır")</f>
        <v>hayır</v>
      </c>
      <c r="AO114" s="7" t="str">
        <f>IF(AE114&lt;=Hedef!$C$14,"evet","hayır")</f>
        <v>evet</v>
      </c>
      <c r="AP114" s="10">
        <f>AB114/Hedef!$C$4</f>
        <v>-76.875</v>
      </c>
    </row>
    <row r="115">
      <c r="A115" s="7" t="str">
        <f>Secenekler!A115</f>
        <v>alan-adi-bulucu-b</v>
      </c>
      <c r="B115" s="7" t="str">
        <f>Secenekler!C115</f>
        <v>Ajans yıllık paketi: puanlı kısa liste ve müşteri teslim şablonu</v>
      </c>
      <c r="C115" s="17" t="inlineStr">
        <is>
          <t>yıllık peşin</t>
        </is>
      </c>
      <c r="D115" s="15" t="n">
        <v>416</v>
      </c>
      <c r="E115" s="15" t="n">
        <v>12</v>
      </c>
      <c r="F115" s="15" t="n">
        <v>900</v>
      </c>
      <c r="G115" s="15" t="n">
        <v>3000</v>
      </c>
      <c r="H115" s="15" t="n">
        <v>40</v>
      </c>
      <c r="I115" s="15" t="n">
        <v>70</v>
      </c>
      <c r="J115" s="15" t="n">
        <v>100</v>
      </c>
      <c r="K115" s="15" t="n">
        <v>30</v>
      </c>
      <c r="L115" s="15" t="n">
        <v>90</v>
      </c>
      <c r="M115" s="15" t="n">
        <v>4</v>
      </c>
      <c r="N115" s="15" t="n">
        <v>0</v>
      </c>
      <c r="O115" s="15" t="n">
        <v>15</v>
      </c>
      <c r="P115" s="15" t="n">
        <v>0</v>
      </c>
      <c r="Q115" s="15" t="n">
        <v>832</v>
      </c>
      <c r="R115" s="15" t="n">
        <v>2080</v>
      </c>
      <c r="S115" s="15" t="n">
        <v>0</v>
      </c>
      <c r="T115" s="15" t="n">
        <v>2</v>
      </c>
      <c r="U115" s="15" t="n">
        <v>5</v>
      </c>
      <c r="V115" s="15" t="n">
        <v>0</v>
      </c>
      <c r="W115" s="15" t="n">
        <v>2</v>
      </c>
      <c r="X115" s="15" t="n">
        <v>5</v>
      </c>
      <c r="Y115" s="21" t="n">
        <v>0.02</v>
      </c>
      <c r="Z115" s="21" t="n">
        <v>0.1</v>
      </c>
      <c r="AA115" s="10">
        <f>P115-S115*E115-6*F115-G115</f>
        <v>-8400</v>
      </c>
      <c r="AB115" s="10">
        <f>Q115-T115*E115-6*F115-G115</f>
        <v>-7592</v>
      </c>
      <c r="AC115" s="10">
        <f>R115-U115*E115-6*F115-G115</f>
        <v>-6380</v>
      </c>
      <c r="AD115" s="10">
        <f>J115+V115*M115+S115*(N115+O115/60)</f>
        <v>100</v>
      </c>
      <c r="AE115" s="10">
        <f>I115+W115*M115+T115*(N115+O115/60)</f>
        <v>78.5</v>
      </c>
      <c r="AF115" s="10">
        <f>H115+X115*M115+U115*(N115+O115/60)</f>
        <v>61.25</v>
      </c>
      <c r="AG115" s="10">
        <f>IF(AE115&gt;0,AB115/AE115,0)</f>
        <v>-96.71337579617834</v>
      </c>
      <c r="AH115" s="10">
        <f>IF(W115&gt;0,(Q115-T115*E115)/W115,D115-E115)</f>
        <v>404</v>
      </c>
      <c r="AI115" s="10">
        <f>IF(AH115&gt;0,(Hedef!$C$5+6*F115+G115)/AH115,0)</f>
        <v>377.2277227722772</v>
      </c>
      <c r="AJ115" s="10">
        <f>IF(AI115&gt;0,AI115/Z115,0)</f>
        <v>3772.277227722772</v>
      </c>
      <c r="AK115" s="10">
        <f>IF(AI115&gt;0,AI115/Y115,0)</f>
        <v>18861.38613861386</v>
      </c>
      <c r="AL115" s="10">
        <f>G115+F115*L115/30</f>
        <v>5700</v>
      </c>
      <c r="AM115" s="7" t="str">
        <f>IF(AB115&gt;=Hedef!$C$5,"evet","hayır")</f>
        <v>hayır</v>
      </c>
      <c r="AN115" s="7" t="str">
        <f>IF(AG115&gt;=Hedef!$C$8,"evet","hayır")</f>
        <v>hayır</v>
      </c>
      <c r="AO115" s="7" t="str">
        <f>IF(AE115&lt;=Hedef!$C$14,"evet","hayır")</f>
        <v>evet</v>
      </c>
      <c r="AP115" s="10">
        <f>AB115/Hedef!$C$4</f>
        <v>-158.1666666666667</v>
      </c>
    </row>
    <row r="116">
      <c r="A116" s="7" t="str">
        <f>Secenekler!A116</f>
        <v>alan-adi-bulucu-c</v>
      </c>
      <c r="B116" s="7" t="str">
        <f>Secenekler!C116</f>
        <v>Elle teslim: 10 adaylık güncel boş .com karar dosyası</v>
      </c>
      <c r="C116" s="17" t="inlineStr">
        <is>
          <t>proje</t>
        </is>
      </c>
      <c r="D116" s="15" t="n">
        <v>1242</v>
      </c>
      <c r="E116" s="15" t="n">
        <v>50</v>
      </c>
      <c r="F116" s="15" t="n">
        <v>200</v>
      </c>
      <c r="G116" s="15" t="n">
        <v>500</v>
      </c>
      <c r="H116" s="15" t="n">
        <v>6</v>
      </c>
      <c r="I116" s="15" t="n">
        <v>10</v>
      </c>
      <c r="J116" s="15" t="n">
        <v>20</v>
      </c>
      <c r="K116" s="15" t="n">
        <v>7</v>
      </c>
      <c r="L116" s="15" t="n">
        <v>35</v>
      </c>
      <c r="M116" s="15" t="n">
        <v>1</v>
      </c>
      <c r="N116" s="15" t="n">
        <v>2.5</v>
      </c>
      <c r="O116" s="15" t="n">
        <v>10</v>
      </c>
      <c r="P116" s="15" t="n">
        <v>2484</v>
      </c>
      <c r="Q116" s="15" t="n">
        <v>4968</v>
      </c>
      <c r="R116" s="15" t="n">
        <v>14904</v>
      </c>
      <c r="S116" s="15" t="n">
        <v>2</v>
      </c>
      <c r="T116" s="15" t="n">
        <v>4</v>
      </c>
      <c r="U116" s="15" t="n">
        <v>12</v>
      </c>
      <c r="V116" s="15" t="n">
        <v>2</v>
      </c>
      <c r="W116" s="15" t="n">
        <v>4</v>
      </c>
      <c r="X116" s="15" t="n">
        <v>12</v>
      </c>
      <c r="Y116" s="21" t="n">
        <v>0.05</v>
      </c>
      <c r="Z116" s="21" t="n">
        <v>0.1</v>
      </c>
      <c r="AA116" s="10">
        <f>P116-S116*E116-6*F116-G116</f>
        <v>684</v>
      </c>
      <c r="AB116" s="10">
        <f>Q116-T116*E116-6*F116-G116</f>
        <v>3068</v>
      </c>
      <c r="AC116" s="10">
        <f>R116-U116*E116-6*F116-G116</f>
        <v>12604</v>
      </c>
      <c r="AD116" s="10">
        <f>J116+V116*M116+S116*(N116+O116/60)</f>
        <v>27.33333333333333</v>
      </c>
      <c r="AE116" s="10">
        <f>I116+W116*M116+T116*(N116+O116/60)</f>
        <v>24.66666666666666</v>
      </c>
      <c r="AF116" s="10">
        <f>H116+X116*M116+U116*(N116+O116/60)</f>
        <v>50</v>
      </c>
      <c r="AG116" s="10">
        <f>IF(AE116&gt;0,AB116/AE116,0)</f>
        <v>124.3783783783784</v>
      </c>
      <c r="AH116" s="10">
        <f>IF(W116&gt;0,(Q116-T116*E116)/W116,D116-E116)</f>
        <v>1192</v>
      </c>
      <c r="AI116" s="10">
        <f>IF(AH116&gt;0,(Hedef!$C$5+6*F116+G116)/AH116,0)</f>
        <v>122.2315436241611</v>
      </c>
      <c r="AJ116" s="10">
        <f>IF(AI116&gt;0,AI116/Z116,0)</f>
        <v>1222.315436241611</v>
      </c>
      <c r="AK116" s="10">
        <f>IF(AI116&gt;0,AI116/Y116,0)</f>
        <v>2444.630872483222</v>
      </c>
      <c r="AL116" s="10">
        <f>G116+F116*L116/30</f>
        <v>733.3333333333334</v>
      </c>
      <c r="AM116" s="7" t="str">
        <f>IF(AB116&gt;=Hedef!$C$5,"evet","hayır")</f>
        <v>hayır</v>
      </c>
      <c r="AN116" s="7" t="str">
        <f>IF(AG116&gt;=Hedef!$C$8,"evet","hayır")</f>
        <v>hayır</v>
      </c>
      <c r="AO116" s="7" t="str">
        <f>IF(AE116&lt;=Hedef!$C$14,"evet","hayır")</f>
        <v>evet</v>
      </c>
      <c r="AP116" s="10">
        <f>AB116/Hedef!$C$4</f>
        <v>63.91666666666666</v>
      </c>
    </row>
    <row r="117">
      <c r="A117" s="7" t="str">
        <f>Secenekler!A117</f>
        <v>projector-a</v>
      </c>
      <c r="B117" s="7" t="str">
        <f>Secenekler!C117</f>
        <v>Türkçe SaaS mimarisi e-kitabı ön satışı</v>
      </c>
      <c r="C117" s="17" t="inlineStr">
        <is>
          <t>tek seferlik</t>
        </is>
      </c>
      <c r="D117" s="15" t="n">
        <v>291</v>
      </c>
      <c r="E117" s="15" t="n">
        <v>12</v>
      </c>
      <c r="F117" s="15" t="n">
        <v>5000</v>
      </c>
      <c r="G117" s="15" t="n">
        <v>12000</v>
      </c>
      <c r="H117" s="15" t="n">
        <v>80</v>
      </c>
      <c r="I117" s="15" t="n">
        <v>120</v>
      </c>
      <c r="J117" s="15" t="n">
        <v>180</v>
      </c>
      <c r="K117" s="15" t="n">
        <v>45</v>
      </c>
      <c r="L117" s="15" t="n">
        <v>100</v>
      </c>
      <c r="M117" s="15" t="n">
        <v>0.5</v>
      </c>
      <c r="N117" s="15" t="n">
        <v>0</v>
      </c>
      <c r="O117" s="15" t="n">
        <v>5</v>
      </c>
      <c r="P117" s="15" t="n">
        <v>4365</v>
      </c>
      <c r="Q117" s="15" t="n">
        <v>17460</v>
      </c>
      <c r="R117" s="15" t="n">
        <v>34920</v>
      </c>
      <c r="S117" s="15" t="n">
        <v>15</v>
      </c>
      <c r="T117" s="15" t="n">
        <v>60</v>
      </c>
      <c r="U117" s="15" t="n">
        <v>120</v>
      </c>
      <c r="V117" s="15" t="n">
        <v>15</v>
      </c>
      <c r="W117" s="15" t="n">
        <v>60</v>
      </c>
      <c r="X117" s="15" t="n">
        <v>120</v>
      </c>
      <c r="Y117" s="21" t="n">
        <v>0.02</v>
      </c>
      <c r="Z117" s="21" t="n">
        <v>0.08</v>
      </c>
      <c r="AA117" s="10">
        <f>P117-S117*E117-6*F117-G117</f>
        <v>-37815</v>
      </c>
      <c r="AB117" s="10">
        <f>Q117-T117*E117-6*F117-G117</f>
        <v>-25260</v>
      </c>
      <c r="AC117" s="10">
        <f>R117-U117*E117-6*F117-G117</f>
        <v>-8520</v>
      </c>
      <c r="AD117" s="10">
        <f>J117+V117*M117+S117*(N117+O117/60)</f>
        <v>188.75</v>
      </c>
      <c r="AE117" s="10">
        <f>I117+W117*M117+T117*(N117+O117/60)</f>
        <v>155</v>
      </c>
      <c r="AF117" s="10">
        <f>H117+X117*M117+U117*(N117+O117/60)</f>
        <v>150</v>
      </c>
      <c r="AG117" s="10">
        <f>IF(AE117&gt;0,AB117/AE117,0)</f>
        <v>-162.9677419354839</v>
      </c>
      <c r="AH117" s="10">
        <f>IF(W117&gt;0,(Q117-T117*E117)/W117,D117-E117)</f>
        <v>279</v>
      </c>
      <c r="AI117" s="10">
        <f>IF(AH117&gt;0,(Hedef!$C$5+6*F117+G117)/AH117,0)</f>
        <v>666.6666666666666</v>
      </c>
      <c r="AJ117" s="10">
        <f>IF(AI117&gt;0,AI117/Z117,0)</f>
        <v>8333.333333333332</v>
      </c>
      <c r="AK117" s="10">
        <f>IF(AI117&gt;0,AI117/Y117,0)</f>
        <v>33333.33333333333</v>
      </c>
      <c r="AL117" s="10">
        <f>G117+F117*L117/30</f>
        <v>28666.66666666667</v>
      </c>
      <c r="AM117" s="7" t="str">
        <f>IF(AB117&gt;=Hedef!$C$5,"evet","hayır")</f>
        <v>hayır</v>
      </c>
      <c r="AN117" s="7" t="str">
        <f>IF(AG117&gt;=Hedef!$C$8,"evet","hayır")</f>
        <v>hayır</v>
      </c>
      <c r="AO117" s="7" t="str">
        <f>IF(AE117&lt;=Hedef!$C$14,"evet","hayır")</f>
        <v>evet</v>
      </c>
      <c r="AP117" s="10">
        <f>AB117/Hedef!$C$4</f>
        <v>-526.25</v>
      </c>
    </row>
    <row r="118">
      <c r="A118" s="7" t="str">
        <f>Secenekler!A118</f>
        <v>projector-b</v>
      </c>
      <c r="B118" s="7" t="str">
        <f>Secenekler!C118</f>
        <v>İki günlük ekip atölyesi: Kurumsal SaaS mimarisi</v>
      </c>
      <c r="C118" s="17" t="inlineStr">
        <is>
          <t>proje</t>
        </is>
      </c>
      <c r="D118" s="15" t="n">
        <v>35000</v>
      </c>
      <c r="E118" s="15" t="n">
        <v>3000</v>
      </c>
      <c r="F118" s="15" t="n">
        <v>3000</v>
      </c>
      <c r="G118" s="15" t="n">
        <v>5000</v>
      </c>
      <c r="H118" s="15" t="n">
        <v>40</v>
      </c>
      <c r="I118" s="15" t="n">
        <v>70</v>
      </c>
      <c r="J118" s="15" t="n">
        <v>110</v>
      </c>
      <c r="K118" s="15" t="n">
        <v>45</v>
      </c>
      <c r="L118" s="15" t="n">
        <v>150</v>
      </c>
      <c r="M118" s="15" t="n">
        <v>20</v>
      </c>
      <c r="N118" s="15" t="n">
        <v>40</v>
      </c>
      <c r="O118" s="15" t="n">
        <v>60</v>
      </c>
      <c r="P118" s="15" t="n">
        <v>0</v>
      </c>
      <c r="Q118" s="15" t="n">
        <v>3000</v>
      </c>
      <c r="R118" s="15" t="n">
        <v>38000</v>
      </c>
      <c r="S118" s="15" t="n">
        <v>0</v>
      </c>
      <c r="T118" s="15" t="n">
        <v>1</v>
      </c>
      <c r="U118" s="15" t="n">
        <v>2</v>
      </c>
      <c r="V118" s="15" t="n">
        <v>0</v>
      </c>
      <c r="W118" s="15" t="n">
        <v>1</v>
      </c>
      <c r="X118" s="15" t="n">
        <v>2</v>
      </c>
      <c r="Y118" s="21" t="n">
        <v>0.03</v>
      </c>
      <c r="Z118" s="21" t="n">
        <v>0.1</v>
      </c>
      <c r="AA118" s="10">
        <f>P118-S118*E118-6*F118-G118</f>
        <v>-23000</v>
      </c>
      <c r="AB118" s="10">
        <f>Q118-T118*E118-6*F118-G118</f>
        <v>-23000</v>
      </c>
      <c r="AC118" s="10">
        <f>R118-U118*E118-6*F118-G118</f>
        <v>9000</v>
      </c>
      <c r="AD118" s="10">
        <f>J118+V118*M118+S118*(N118+O118/60)</f>
        <v>110</v>
      </c>
      <c r="AE118" s="10">
        <f>I118+W118*M118+T118*(N118+O118/60)</f>
        <v>131</v>
      </c>
      <c r="AF118" s="10">
        <f>H118+X118*M118+U118*(N118+O118/60)</f>
        <v>162</v>
      </c>
      <c r="AG118" s="10">
        <f>IF(AE118&gt;0,AB118/AE118,0)</f>
        <v>-175.5725190839695</v>
      </c>
      <c r="AH118" s="10">
        <f>IF(W118&gt;0,(Q118-T118*E118)/W118,D118-E118)</f>
        <v>0</v>
      </c>
      <c r="AI118" s="10">
        <f>IF(AH118&gt;0,(Hedef!$C$5+6*F118+G118)/AH118,0)</f>
        <v>0</v>
      </c>
      <c r="AJ118" s="10">
        <f>IF(AI118&gt;0,AI118/Z118,0)</f>
        <v>0</v>
      </c>
      <c r="AK118" s="10">
        <f>IF(AI118&gt;0,AI118/Y118,0)</f>
        <v>0</v>
      </c>
      <c r="AL118" s="10">
        <f>G118+F118*L118/30</f>
        <v>20000</v>
      </c>
      <c r="AM118" s="7" t="str">
        <f>IF(AB118&gt;=Hedef!$C$5,"evet","hayır")</f>
        <v>hayır</v>
      </c>
      <c r="AN118" s="7" t="str">
        <f>IF(AG118&gt;=Hedef!$C$8,"evet","hayır")</f>
        <v>hayır</v>
      </c>
      <c r="AO118" s="7" t="str">
        <f>IF(AE118&lt;=Hedef!$C$14,"evet","hayır")</f>
        <v>evet</v>
      </c>
      <c r="AP118" s="10">
        <f>AB118/Hedef!$C$4</f>
        <v>-479.1666666666667</v>
      </c>
    </row>
    <row r="119">
      <c r="A119" s="7" t="str">
        <f>Secenekler!A119</f>
        <v>projector-c</v>
      </c>
      <c r="B119" s="7" t="str">
        <f>Secenekler!C119</f>
        <v>Kaynaklı teslim portalı: 30 dokümanlık migration pilotu</v>
      </c>
      <c r="C119" s="17" t="inlineStr">
        <is>
          <t>proje</t>
        </is>
      </c>
      <c r="D119" s="15" t="n">
        <v>14400</v>
      </c>
      <c r="E119" s="15" t="n">
        <v>2000</v>
      </c>
      <c r="F119" s="15" t="n">
        <v>1000</v>
      </c>
      <c r="G119" s="15" t="n">
        <v>3000</v>
      </c>
      <c r="H119" s="15" t="n">
        <v>80</v>
      </c>
      <c r="I119" s="15" t="n">
        <v>140</v>
      </c>
      <c r="J119" s="15" t="n">
        <v>200</v>
      </c>
      <c r="K119" s="15" t="n">
        <v>60</v>
      </c>
      <c r="L119" s="15" t="n">
        <v>180</v>
      </c>
      <c r="M119" s="15" t="n">
        <v>25</v>
      </c>
      <c r="N119" s="15" t="n">
        <v>24</v>
      </c>
      <c r="O119" s="15" t="n">
        <v>60</v>
      </c>
      <c r="P119" s="15" t="n">
        <v>0</v>
      </c>
      <c r="Q119" s="15" t="n">
        <v>14400</v>
      </c>
      <c r="R119" s="15" t="n">
        <v>43200</v>
      </c>
      <c r="S119" s="15" t="n">
        <v>0</v>
      </c>
      <c r="T119" s="15" t="n">
        <v>1</v>
      </c>
      <c r="U119" s="15" t="n">
        <v>3</v>
      </c>
      <c r="V119" s="15" t="n">
        <v>0</v>
      </c>
      <c r="W119" s="15" t="n">
        <v>1</v>
      </c>
      <c r="X119" s="15" t="n">
        <v>3</v>
      </c>
      <c r="Y119" s="21" t="n">
        <v>0.02</v>
      </c>
      <c r="Z119" s="21" t="n">
        <v>0.1</v>
      </c>
      <c r="AA119" s="10">
        <f>P119-S119*E119-6*F119-G119</f>
        <v>-9000</v>
      </c>
      <c r="AB119" s="10">
        <f>Q119-T119*E119-6*F119-G119</f>
        <v>3400</v>
      </c>
      <c r="AC119" s="10">
        <f>R119-U119*E119-6*F119-G119</f>
        <v>28200</v>
      </c>
      <c r="AD119" s="10">
        <f>J119+V119*M119+S119*(N119+O119/60)</f>
        <v>200</v>
      </c>
      <c r="AE119" s="10">
        <f>I119+W119*M119+T119*(N119+O119/60)</f>
        <v>190</v>
      </c>
      <c r="AF119" s="10">
        <f>H119+X119*M119+U119*(N119+O119/60)</f>
        <v>230</v>
      </c>
      <c r="AG119" s="10">
        <f>IF(AE119&gt;0,AB119/AE119,0)</f>
        <v>17.89473684210526</v>
      </c>
      <c r="AH119" s="10">
        <f>IF(W119&gt;0,(Q119-T119*E119)/W119,D119-E119)</f>
        <v>12400</v>
      </c>
      <c r="AI119" s="10">
        <f>IF(AH119&gt;0,(Hedef!$C$5+6*F119+G119)/AH119,0)</f>
        <v>12.33870967741935</v>
      </c>
      <c r="AJ119" s="10">
        <f>IF(AI119&gt;0,AI119/Z119,0)</f>
        <v>123.3870967741935</v>
      </c>
      <c r="AK119" s="10">
        <f>IF(AI119&gt;0,AI119/Y119,0)</f>
        <v>616.9354838709677</v>
      </c>
      <c r="AL119" s="10">
        <f>G119+F119*L119/30</f>
        <v>9000</v>
      </c>
      <c r="AM119" s="7" t="str">
        <f>IF(AB119&gt;=Hedef!$C$5,"evet","hayır")</f>
        <v>hayır</v>
      </c>
      <c r="AN119" s="7" t="str">
        <f>IF(AG119&gt;=Hedef!$C$8,"evet","hayır")</f>
        <v>hayır</v>
      </c>
      <c r="AO119" s="7" t="str">
        <f>IF(AE119&lt;=Hedef!$C$14,"evet","hayır")</f>
        <v>evet</v>
      </c>
      <c r="AP119" s="10">
        <f>AB119/Hedef!$C$4</f>
        <v>70.83333333333333</v>
      </c>
    </row>
    <row r="120">
      <c r="A120" s="7" t="str">
        <f>Secenekler!A120</f>
        <v>kurucu-pusulasi-a</v>
      </c>
      <c r="B120" s="7" t="str">
        <f>Secenekler!C120</f>
        <v>Kurucu Pusulası şablonu, bireysel satış</v>
      </c>
      <c r="C120" s="17" t="inlineStr">
        <is>
          <t>tek seferlik</t>
        </is>
      </c>
      <c r="D120" s="15" t="n">
        <v>249</v>
      </c>
      <c r="E120" s="15" t="n">
        <v>8</v>
      </c>
      <c r="F120" s="15" t="n">
        <v>1000</v>
      </c>
      <c r="G120" s="15" t="n">
        <v>2500</v>
      </c>
      <c r="H120" s="15" t="n">
        <v>40</v>
      </c>
      <c r="I120" s="15" t="n">
        <v>64</v>
      </c>
      <c r="J120" s="15" t="n">
        <v>80</v>
      </c>
      <c r="K120" s="15" t="n">
        <v>35</v>
      </c>
      <c r="L120" s="15" t="n">
        <v>60</v>
      </c>
      <c r="M120" s="15" t="n">
        <v>0.5</v>
      </c>
      <c r="N120" s="15" t="n">
        <v>0</v>
      </c>
      <c r="O120" s="15" t="n">
        <v>10</v>
      </c>
      <c r="P120" s="15" t="n">
        <v>1245</v>
      </c>
      <c r="Q120" s="15" t="n">
        <v>6225</v>
      </c>
      <c r="R120" s="15" t="n">
        <v>12450</v>
      </c>
      <c r="S120" s="15" t="n">
        <v>5</v>
      </c>
      <c r="T120" s="15" t="n">
        <v>25</v>
      </c>
      <c r="U120" s="15" t="n">
        <v>50</v>
      </c>
      <c r="V120" s="15" t="n">
        <v>5</v>
      </c>
      <c r="W120" s="15" t="n">
        <v>25</v>
      </c>
      <c r="X120" s="15" t="n">
        <v>50</v>
      </c>
      <c r="Y120" s="21" t="n">
        <v>0.03</v>
      </c>
      <c r="Z120" s="21" t="n">
        <v>0.08</v>
      </c>
      <c r="AA120" s="10">
        <f>P120-S120*E120-6*F120-G120</f>
        <v>-7295</v>
      </c>
      <c r="AB120" s="10">
        <f>Q120-T120*E120-6*F120-G120</f>
        <v>-2475</v>
      </c>
      <c r="AC120" s="10">
        <f>R120-U120*E120-6*F120-G120</f>
        <v>3550</v>
      </c>
      <c r="AD120" s="10">
        <f>J120+V120*M120+S120*(N120+O120/60)</f>
        <v>83.33333333333333</v>
      </c>
      <c r="AE120" s="10">
        <f>I120+W120*M120+T120*(N120+O120/60)</f>
        <v>80.66666666666667</v>
      </c>
      <c r="AF120" s="10">
        <f>H120+X120*M120+U120*(N120+O120/60)</f>
        <v>73.33333333333333</v>
      </c>
      <c r="AG120" s="10">
        <f>IF(AE120&gt;0,AB120/AE120,0)</f>
        <v>-30.68181818181818</v>
      </c>
      <c r="AH120" s="10">
        <f>IF(W120&gt;0,(Q120-T120*E120)/W120,D120-E120)</f>
        <v>241</v>
      </c>
      <c r="AI120" s="10">
        <f>IF(AH120&gt;0,(Hedef!$C$5+6*F120+G120)/AH120,0)</f>
        <v>632.7800829875519</v>
      </c>
      <c r="AJ120" s="10">
        <f>IF(AI120&gt;0,AI120/Z120,0)</f>
        <v>7909.751037344398</v>
      </c>
      <c r="AK120" s="10">
        <f>IF(AI120&gt;0,AI120/Y120,0)</f>
        <v>21092.6694329184</v>
      </c>
      <c r="AL120" s="10">
        <f>G120+F120*L120/30</f>
        <v>4500</v>
      </c>
      <c r="AM120" s="7" t="str">
        <f>IF(AB120&gt;=Hedef!$C$5,"evet","hayır")</f>
        <v>hayır</v>
      </c>
      <c r="AN120" s="7" t="str">
        <f>IF(AG120&gt;=Hedef!$C$8,"evet","hayır")</f>
        <v>hayır</v>
      </c>
      <c r="AO120" s="7" t="str">
        <f>IF(AE120&lt;=Hedef!$C$14,"evet","hayır")</f>
        <v>evet</v>
      </c>
      <c r="AP120" s="10">
        <f>AB120/Hedef!$C$4</f>
        <v>-51.5625</v>
      </c>
    </row>
    <row r="121">
      <c r="A121" s="7" t="str">
        <f>Secenekler!A121</f>
        <v>kurucu-pusulasi-b</v>
      </c>
      <c r="B121" s="7" t="str">
        <f>Secenekler!C121</f>
        <v>Mentor sürümü, kuluçka programlarına kurum lisansı</v>
      </c>
      <c r="C121" s="17" t="inlineStr">
        <is>
          <t>tek seferlik</t>
        </is>
      </c>
      <c r="D121" s="15" t="n">
        <v>1200</v>
      </c>
      <c r="E121" s="15" t="n">
        <v>40</v>
      </c>
      <c r="F121" s="15" t="n">
        <v>1000</v>
      </c>
      <c r="G121" s="15" t="n">
        <v>2500</v>
      </c>
      <c r="H121" s="15" t="n">
        <v>30</v>
      </c>
      <c r="I121" s="15" t="n">
        <v>44</v>
      </c>
      <c r="J121" s="15" t="n">
        <v>64</v>
      </c>
      <c r="K121" s="15" t="n">
        <v>60</v>
      </c>
      <c r="L121" s="15" t="n">
        <v>120</v>
      </c>
      <c r="M121" s="15" t="n">
        <v>8</v>
      </c>
      <c r="N121" s="15" t="n">
        <v>3</v>
      </c>
      <c r="O121" s="15" t="n">
        <v>20</v>
      </c>
      <c r="P121" s="15" t="n">
        <v>0</v>
      </c>
      <c r="Q121" s="15" t="n">
        <v>1200</v>
      </c>
      <c r="R121" s="15" t="n">
        <v>3600</v>
      </c>
      <c r="S121" s="15" t="n">
        <v>0</v>
      </c>
      <c r="T121" s="15" t="n">
        <v>1</v>
      </c>
      <c r="U121" s="15" t="n">
        <v>3</v>
      </c>
      <c r="V121" s="15" t="n">
        <v>0</v>
      </c>
      <c r="W121" s="15" t="n">
        <v>1</v>
      </c>
      <c r="X121" s="15" t="n">
        <v>3</v>
      </c>
      <c r="Y121" s="21" t="n">
        <v>0.1</v>
      </c>
      <c r="Z121" s="21" t="n">
        <v>0.2</v>
      </c>
      <c r="AA121" s="10">
        <f>P121-S121*E121-6*F121-G121</f>
        <v>-8500</v>
      </c>
      <c r="AB121" s="10">
        <f>Q121-T121*E121-6*F121-G121</f>
        <v>-7340</v>
      </c>
      <c r="AC121" s="10">
        <f>R121-U121*E121-6*F121-G121</f>
        <v>-5020</v>
      </c>
      <c r="AD121" s="10">
        <f>J121+V121*M121+S121*(N121+O121/60)</f>
        <v>64</v>
      </c>
      <c r="AE121" s="10">
        <f>I121+W121*M121+T121*(N121+O121/60)</f>
        <v>55.33333333333334</v>
      </c>
      <c r="AF121" s="10">
        <f>H121+X121*M121+U121*(N121+O121/60)</f>
        <v>64</v>
      </c>
      <c r="AG121" s="10">
        <f>IF(AE121&gt;0,AB121/AE121,0)</f>
        <v>-132.6506024096385</v>
      </c>
      <c r="AH121" s="10">
        <f>IF(W121&gt;0,(Q121-T121*E121)/W121,D121-E121)</f>
        <v>1160</v>
      </c>
      <c r="AI121" s="10">
        <f>IF(AH121&gt;0,(Hedef!$C$5+6*F121+G121)/AH121,0)</f>
        <v>131.4655172413793</v>
      </c>
      <c r="AJ121" s="10">
        <f>IF(AI121&gt;0,AI121/Z121,0)</f>
        <v>657.3275862068965</v>
      </c>
      <c r="AK121" s="10">
        <f>IF(AI121&gt;0,AI121/Y121,0)</f>
        <v>1314.655172413793</v>
      </c>
      <c r="AL121" s="10">
        <f>G121+F121*L121/30</f>
        <v>6500</v>
      </c>
      <c r="AM121" s="7" t="str">
        <f>IF(AB121&gt;=Hedef!$C$5,"evet","hayır")</f>
        <v>hayır</v>
      </c>
      <c r="AN121" s="7" t="str">
        <f>IF(AG121&gt;=Hedef!$C$8,"evet","hayır")</f>
        <v>hayır</v>
      </c>
      <c r="AO121" s="7" t="str">
        <f>IF(AE121&lt;=Hedef!$C$14,"evet","hayır")</f>
        <v>evet</v>
      </c>
      <c r="AP121" s="10">
        <f>AB121/Hedef!$C$4</f>
        <v>-152.9166666666667</v>
      </c>
    </row>
    <row r="122">
      <c r="A122" s="7" t="str">
        <f>Secenekler!A122</f>
        <v>kurucu-pusulasi-c</v>
      </c>
      <c r="B122" s="7" t="str">
        <f>Secenekler!C122</f>
        <v>Kitap Atlası, çevirmen künyeli ortaklık sitesi</v>
      </c>
      <c r="C122" s="17" t="inlineStr">
        <is>
          <t>karma</t>
        </is>
      </c>
      <c r="D122" s="15" t="n">
        <v>12</v>
      </c>
      <c r="E122" s="15" t="n">
        <v>0</v>
      </c>
      <c r="F122" s="15" t="n">
        <v>100</v>
      </c>
      <c r="G122" s="15" t="n">
        <v>750</v>
      </c>
      <c r="H122" s="15" t="n">
        <v>8</v>
      </c>
      <c r="I122" s="15" t="n">
        <v>14</v>
      </c>
      <c r="J122" s="15" t="n">
        <v>24</v>
      </c>
      <c r="K122" s="15" t="n">
        <v>90</v>
      </c>
      <c r="L122" s="15" t="n">
        <v>180</v>
      </c>
      <c r="M122" s="15" t="n">
        <v>0</v>
      </c>
      <c r="N122" s="15" t="n">
        <v>0</v>
      </c>
      <c r="O122" s="15" t="n">
        <v>0</v>
      </c>
      <c r="P122" s="15" t="n">
        <v>0</v>
      </c>
      <c r="Q122" s="15" t="n">
        <v>144</v>
      </c>
      <c r="R122" s="15" t="n">
        <v>600</v>
      </c>
      <c r="S122" s="15" t="n">
        <v>0</v>
      </c>
      <c r="T122" s="15" t="n">
        <v>12</v>
      </c>
      <c r="U122" s="15" t="n">
        <v>50</v>
      </c>
      <c r="V122" s="15" t="n">
        <v>0</v>
      </c>
      <c r="W122" s="15" t="n">
        <v>1</v>
      </c>
      <c r="X122" s="15" t="n">
        <v>3</v>
      </c>
      <c r="Y122" s="21" t="n">
        <v>0.0025</v>
      </c>
      <c r="Z122" s="21" t="n">
        <v>0.0075</v>
      </c>
      <c r="AA122" s="10">
        <f>P122-S122*E122-6*F122-G122</f>
        <v>-1350</v>
      </c>
      <c r="AB122" s="10">
        <f>Q122-T122*E122-6*F122-G122</f>
        <v>-1206</v>
      </c>
      <c r="AC122" s="10">
        <f>R122-U122*E122-6*F122-G122</f>
        <v>-750</v>
      </c>
      <c r="AD122" s="10">
        <f>J122+V122*M122+S122*(N122+O122/60)</f>
        <v>24</v>
      </c>
      <c r="AE122" s="10">
        <f>I122+W122*M122+T122*(N122+O122/60)</f>
        <v>14</v>
      </c>
      <c r="AF122" s="10">
        <f>H122+X122*M122+U122*(N122+O122/60)</f>
        <v>8</v>
      </c>
      <c r="AG122" s="10">
        <f>IF(AE122&gt;0,AB122/AE122,0)</f>
        <v>-86.14285714285714</v>
      </c>
      <c r="AH122" s="10">
        <f>IF(W122&gt;0,(Q122-T122*E122)/W122,D122-E122)</f>
        <v>144</v>
      </c>
      <c r="AI122" s="10">
        <f>IF(AH122&gt;0,(Hedef!$C$5+6*F122+G122)/AH122,0)</f>
        <v>1009.375</v>
      </c>
      <c r="AJ122" s="10">
        <f>IF(AI122&gt;0,AI122/Z122,0)</f>
        <v>134583.3333333333</v>
      </c>
      <c r="AK122" s="10">
        <f>IF(AI122&gt;0,AI122/Y122,0)</f>
        <v>403750</v>
      </c>
      <c r="AL122" s="10">
        <f>G122+F122*L122/30</f>
        <v>1350</v>
      </c>
      <c r="AM122" s="7" t="str">
        <f>IF(AB122&gt;=Hedef!$C$5,"evet","hayır")</f>
        <v>hayır</v>
      </c>
      <c r="AN122" s="7" t="str">
        <f>IF(AG122&gt;=Hedef!$C$8,"evet","hayır")</f>
        <v>hayır</v>
      </c>
      <c r="AO122" s="7" t="str">
        <f>IF(AE122&lt;=Hedef!$C$14,"evet","hayır")</f>
        <v>evet</v>
      </c>
      <c r="AP122" s="10">
        <f>AB122/Hedef!$C$4</f>
        <v>-25.125</v>
      </c>
    </row>
    <row r="123">
      <c r="A123" s="7" t="str">
        <f>Secenekler!A123</f>
        <v>signator-a</v>
      </c>
      <c r="B123" s="7" t="str">
        <f>Secenekler!C123</f>
        <v>Ajans paketi: white-label toplu imza ve KVKK altbilgi</v>
      </c>
      <c r="C123" s="17" t="inlineStr">
        <is>
          <t>yıllık peşin</t>
        </is>
      </c>
      <c r="D123" s="15" t="n">
        <v>4990</v>
      </c>
      <c r="E123" s="15" t="n">
        <v>200</v>
      </c>
      <c r="F123" s="15" t="n">
        <v>150</v>
      </c>
      <c r="G123" s="15" t="n">
        <v>5000</v>
      </c>
      <c r="H123" s="15" t="n">
        <v>60</v>
      </c>
      <c r="I123" s="15" t="n">
        <v>95</v>
      </c>
      <c r="J123" s="15" t="n">
        <v>135</v>
      </c>
      <c r="K123" s="15" t="n">
        <v>35</v>
      </c>
      <c r="L123" s="15" t="n">
        <v>120</v>
      </c>
      <c r="M123" s="15" t="n">
        <v>4</v>
      </c>
      <c r="N123" s="15" t="n">
        <v>5</v>
      </c>
      <c r="O123" s="15" t="n">
        <v>45</v>
      </c>
      <c r="P123" s="15" t="n">
        <v>0</v>
      </c>
      <c r="Q123" s="15" t="n">
        <v>4990</v>
      </c>
      <c r="R123" s="15" t="n">
        <v>19960</v>
      </c>
      <c r="S123" s="15" t="n">
        <v>0</v>
      </c>
      <c r="T123" s="15" t="n">
        <v>1</v>
      </c>
      <c r="U123" s="15" t="n">
        <v>4</v>
      </c>
      <c r="V123" s="15" t="n">
        <v>0</v>
      </c>
      <c r="W123" s="15" t="n">
        <v>1</v>
      </c>
      <c r="X123" s="15" t="n">
        <v>4</v>
      </c>
      <c r="Y123" s="21" t="n">
        <v>0.1</v>
      </c>
      <c r="Z123" s="21" t="n">
        <v>0.3</v>
      </c>
      <c r="AA123" s="10">
        <f>P123-S123*E123-6*F123-G123</f>
        <v>-5900</v>
      </c>
      <c r="AB123" s="10">
        <f>Q123-T123*E123-6*F123-G123</f>
        <v>-1110</v>
      </c>
      <c r="AC123" s="10">
        <f>R123-U123*E123-6*F123-G123</f>
        <v>13260</v>
      </c>
      <c r="AD123" s="10">
        <f>J123+V123*M123+S123*(N123+O123/60)</f>
        <v>135</v>
      </c>
      <c r="AE123" s="10">
        <f>I123+W123*M123+T123*(N123+O123/60)</f>
        <v>104.75</v>
      </c>
      <c r="AF123" s="10">
        <f>H123+X123*M123+U123*(N123+O123/60)</f>
        <v>99</v>
      </c>
      <c r="AG123" s="10">
        <f>IF(AE123&gt;0,AB123/AE123,0)</f>
        <v>-10.59665871121718</v>
      </c>
      <c r="AH123" s="10">
        <f>IF(W123&gt;0,(Q123-T123*E123)/W123,D123-E123)</f>
        <v>4790</v>
      </c>
      <c r="AI123" s="10">
        <f>IF(AH123&gt;0,(Hedef!$C$5+6*F123+G123)/AH123,0)</f>
        <v>31.29436325678497</v>
      </c>
      <c r="AJ123" s="10">
        <f>IF(AI123&gt;0,AI123/Z123,0)</f>
        <v>104.3145441892832</v>
      </c>
      <c r="AK123" s="10">
        <f>IF(AI123&gt;0,AI123/Y123,0)</f>
        <v>312.9436325678496</v>
      </c>
      <c r="AL123" s="10">
        <f>G123+F123*L123/30</f>
        <v>5600</v>
      </c>
      <c r="AM123" s="7" t="str">
        <f>IF(AB123&gt;=Hedef!$C$5,"evet","hayır")</f>
        <v>hayır</v>
      </c>
      <c r="AN123" s="7" t="str">
        <f>IF(AG123&gt;=Hedef!$C$8,"evet","hayır")</f>
        <v>hayır</v>
      </c>
      <c r="AO123" s="7" t="str">
        <f>IF(AE123&lt;=Hedef!$C$14,"evet","hayır")</f>
        <v>evet</v>
      </c>
      <c r="AP123" s="10">
        <f>AB123/Hedef!$C$4</f>
        <v>-23.125</v>
      </c>
    </row>
    <row r="124">
      <c r="A124" s="7" t="str">
        <f>Secenekler!A124</f>
        <v>signator-b</v>
      </c>
      <c r="B124" s="7" t="str">
        <f>Secenekler!C124</f>
        <v>KOBİ ekip paketi: self-servis, aramadan gelen satış</v>
      </c>
      <c r="C124" s="17" t="inlineStr">
        <is>
          <t>yıllık peşin</t>
        </is>
      </c>
      <c r="D124" s="15" t="n">
        <v>1500</v>
      </c>
      <c r="E124" s="15" t="n">
        <v>70</v>
      </c>
      <c r="F124" s="15" t="n">
        <v>300</v>
      </c>
      <c r="G124" s="15" t="n">
        <v>5000</v>
      </c>
      <c r="H124" s="15" t="n">
        <v>44</v>
      </c>
      <c r="I124" s="15" t="n">
        <v>100</v>
      </c>
      <c r="J124" s="15" t="n">
        <v>140</v>
      </c>
      <c r="K124" s="15" t="n">
        <v>45</v>
      </c>
      <c r="L124" s="15" t="n">
        <v>120</v>
      </c>
      <c r="M124" s="15" t="n">
        <v>3</v>
      </c>
      <c r="N124" s="15" t="n">
        <v>0</v>
      </c>
      <c r="O124" s="15" t="n">
        <v>15</v>
      </c>
      <c r="P124" s="15" t="n">
        <v>0</v>
      </c>
      <c r="Q124" s="15" t="n">
        <v>4500</v>
      </c>
      <c r="R124" s="15" t="n">
        <v>22500</v>
      </c>
      <c r="S124" s="15" t="n">
        <v>0</v>
      </c>
      <c r="T124" s="15" t="n">
        <v>3</v>
      </c>
      <c r="U124" s="15" t="n">
        <v>15</v>
      </c>
      <c r="V124" s="15" t="n">
        <v>0</v>
      </c>
      <c r="W124" s="15" t="n">
        <v>3</v>
      </c>
      <c r="X124" s="15" t="n">
        <v>15</v>
      </c>
      <c r="Y124" s="21" t="n">
        <v>0.05</v>
      </c>
      <c r="Z124" s="21" t="n">
        <v>0.15</v>
      </c>
      <c r="AA124" s="10">
        <f>P124-S124*E124-6*F124-G124</f>
        <v>-6800</v>
      </c>
      <c r="AB124" s="10">
        <f>Q124-T124*E124-6*F124-G124</f>
        <v>-2510</v>
      </c>
      <c r="AC124" s="10">
        <f>R124-U124*E124-6*F124-G124</f>
        <v>14650</v>
      </c>
      <c r="AD124" s="10">
        <f>J124+V124*M124+S124*(N124+O124/60)</f>
        <v>140</v>
      </c>
      <c r="AE124" s="10">
        <f>I124+W124*M124+T124*(N124+O124/60)</f>
        <v>109.75</v>
      </c>
      <c r="AF124" s="10">
        <f>H124+X124*M124+U124*(N124+O124/60)</f>
        <v>92.75</v>
      </c>
      <c r="AG124" s="10">
        <f>IF(AE124&gt;0,AB124/AE124,0)</f>
        <v>-22.87015945330296</v>
      </c>
      <c r="AH124" s="10">
        <f>IF(W124&gt;0,(Q124-T124*E124)/W124,D124-E124)</f>
        <v>1430</v>
      </c>
      <c r="AI124" s="10">
        <f>IF(AH124&gt;0,(Hedef!$C$5+6*F124+G124)/AH124,0)</f>
        <v>105.4545454545455</v>
      </c>
      <c r="AJ124" s="10">
        <f>IF(AI124&gt;0,AI124/Z124,0)</f>
        <v>703.030303030303</v>
      </c>
      <c r="AK124" s="10">
        <f>IF(AI124&gt;0,AI124/Y124,0)</f>
        <v>2109.090909090909</v>
      </c>
      <c r="AL124" s="10">
        <f>G124+F124*L124/30</f>
        <v>6200</v>
      </c>
      <c r="AM124" s="7" t="str">
        <f>IF(AB124&gt;=Hedef!$C$5,"evet","hayır")</f>
        <v>hayır</v>
      </c>
      <c r="AN124" s="7" t="str">
        <f>IF(AG124&gt;=Hedef!$C$8,"evet","hayır")</f>
        <v>hayır</v>
      </c>
      <c r="AO124" s="7" t="str">
        <f>IF(AE124&lt;=Hedef!$C$14,"evet","hayır")</f>
        <v>evet</v>
      </c>
      <c r="AP124" s="10">
        <f>AB124/Hedef!$C$4</f>
        <v>-52.29166666666666</v>
      </c>
    </row>
    <row r="125">
      <c r="A125" s="7" t="str">
        <f>Secenekler!A125</f>
        <v>signator-c</v>
      </c>
      <c r="B125" s="7" t="str">
        <f>Secenekler!C125</f>
        <v>Sabit fiyatlı ekip imzası kurulum paketi</v>
      </c>
      <c r="C125" s="17" t="inlineStr">
        <is>
          <t>tek seferlik</t>
        </is>
      </c>
      <c r="D125" s="15" t="n">
        <v>1000</v>
      </c>
      <c r="E125" s="15" t="n">
        <v>50</v>
      </c>
      <c r="F125" s="15" t="n">
        <v>50</v>
      </c>
      <c r="G125" s="15" t="n">
        <v>250</v>
      </c>
      <c r="H125" s="15" t="n">
        <v>8</v>
      </c>
      <c r="I125" s="15" t="n">
        <v>14</v>
      </c>
      <c r="J125" s="15" t="n">
        <v>24</v>
      </c>
      <c r="K125" s="15" t="n">
        <v>7</v>
      </c>
      <c r="L125" s="15" t="n">
        <v>45</v>
      </c>
      <c r="M125" s="15" t="n">
        <v>2</v>
      </c>
      <c r="N125" s="15" t="n">
        <v>8</v>
      </c>
      <c r="O125" s="15" t="n">
        <v>20</v>
      </c>
      <c r="P125" s="15" t="n">
        <v>0</v>
      </c>
      <c r="Q125" s="15" t="n">
        <v>3000</v>
      </c>
      <c r="R125" s="15" t="n">
        <v>12000</v>
      </c>
      <c r="S125" s="15" t="n">
        <v>0</v>
      </c>
      <c r="T125" s="15" t="n">
        <v>3</v>
      </c>
      <c r="U125" s="15" t="n">
        <v>12</v>
      </c>
      <c r="V125" s="15" t="n">
        <v>0</v>
      </c>
      <c r="W125" s="15" t="n">
        <v>3</v>
      </c>
      <c r="X125" s="15" t="n">
        <v>12</v>
      </c>
      <c r="Y125" s="21" t="n">
        <v>0.1</v>
      </c>
      <c r="Z125" s="21" t="n">
        <v>0.3</v>
      </c>
      <c r="AA125" s="10">
        <f>P125-S125*E125-6*F125-G125</f>
        <v>-550</v>
      </c>
      <c r="AB125" s="10">
        <f>Q125-T125*E125-6*F125-G125</f>
        <v>2300</v>
      </c>
      <c r="AC125" s="10">
        <f>R125-U125*E125-6*F125-G125</f>
        <v>10850</v>
      </c>
      <c r="AD125" s="10">
        <f>J125+V125*M125+S125*(N125+O125/60)</f>
        <v>24</v>
      </c>
      <c r="AE125" s="10">
        <f>I125+W125*M125+T125*(N125+O125/60)</f>
        <v>45</v>
      </c>
      <c r="AF125" s="10">
        <f>H125+X125*M125+U125*(N125+O125/60)</f>
        <v>132</v>
      </c>
      <c r="AG125" s="10">
        <f>IF(AE125&gt;0,AB125/AE125,0)</f>
        <v>51.11111111111111</v>
      </c>
      <c r="AH125" s="10">
        <f>IF(W125&gt;0,(Q125-T125*E125)/W125,D125-E125)</f>
        <v>950</v>
      </c>
      <c r="AI125" s="10">
        <f>IF(AH125&gt;0,(Hedef!$C$5+6*F125+G125)/AH125,0)</f>
        <v>152.1578947368421</v>
      </c>
      <c r="AJ125" s="10">
        <f>IF(AI125&gt;0,AI125/Z125,0)</f>
        <v>507.1929824561404</v>
      </c>
      <c r="AK125" s="10">
        <f>IF(AI125&gt;0,AI125/Y125,0)</f>
        <v>1521.578947368421</v>
      </c>
      <c r="AL125" s="10">
        <f>G125+F125*L125/30</f>
        <v>325</v>
      </c>
      <c r="AM125" s="7" t="str">
        <f>IF(AB125&gt;=Hedef!$C$5,"evet","hayır")</f>
        <v>hayır</v>
      </c>
      <c r="AN125" s="7" t="str">
        <f>IF(AG125&gt;=Hedef!$C$8,"evet","hayır")</f>
        <v>hayır</v>
      </c>
      <c r="AO125" s="7" t="str">
        <f>IF(AE125&lt;=Hedef!$C$14,"evet","hayır")</f>
        <v>evet</v>
      </c>
      <c r="AP125" s="10">
        <f>AB125/Hedef!$C$4</f>
        <v>47.91666666666666</v>
      </c>
    </row>
    <row r="126">
      <c r="A126" s="7" t="str">
        <f>Secenekler!A126</f>
        <v>volley-tap-a</v>
      </c>
      <c r="B126" s="7" t="str">
        <f>Secenekler!C126</f>
        <v>Kulüp ve markalara sabit paketli kampanya oyunu</v>
      </c>
      <c r="C126" s="17" t="inlineStr">
        <is>
          <t>proje</t>
        </is>
      </c>
      <c r="D126" s="15" t="n">
        <v>25000</v>
      </c>
      <c r="E126" s="15" t="n">
        <v>1500</v>
      </c>
      <c r="F126" s="15" t="n">
        <v>250</v>
      </c>
      <c r="G126" s="15" t="n">
        <v>6000</v>
      </c>
      <c r="H126" s="15" t="n">
        <v>80</v>
      </c>
      <c r="I126" s="15" t="n">
        <v>120</v>
      </c>
      <c r="J126" s="15" t="n">
        <v>160</v>
      </c>
      <c r="K126" s="15" t="n">
        <v>63</v>
      </c>
      <c r="L126" s="15" t="n">
        <v>180</v>
      </c>
      <c r="M126" s="15" t="n">
        <v>12</v>
      </c>
      <c r="N126" s="15" t="n">
        <v>40</v>
      </c>
      <c r="O126" s="15" t="n">
        <v>60</v>
      </c>
      <c r="P126" s="15" t="n">
        <v>0</v>
      </c>
      <c r="Q126" s="15" t="n">
        <v>0</v>
      </c>
      <c r="R126" s="15" t="n">
        <v>25000</v>
      </c>
      <c r="S126" s="15" t="n">
        <v>0</v>
      </c>
      <c r="T126" s="15" t="n">
        <v>0</v>
      </c>
      <c r="U126" s="15" t="n">
        <v>1</v>
      </c>
      <c r="V126" s="15" t="n">
        <v>0</v>
      </c>
      <c r="W126" s="15" t="n">
        <v>0</v>
      </c>
      <c r="X126" s="15" t="n">
        <v>1</v>
      </c>
      <c r="Y126" s="21" t="n">
        <v>0.1</v>
      </c>
      <c r="Z126" s="21" t="n">
        <v>0.25</v>
      </c>
      <c r="AA126" s="10">
        <f>P126-S126*E126-6*F126-G126</f>
        <v>-7500</v>
      </c>
      <c r="AB126" s="10">
        <f>Q126-T126*E126-6*F126-G126</f>
        <v>-7500</v>
      </c>
      <c r="AC126" s="10">
        <f>R126-U126*E126-6*F126-G126</f>
        <v>16000</v>
      </c>
      <c r="AD126" s="10">
        <f>J126+V126*M126+S126*(N126+O126/60)</f>
        <v>160</v>
      </c>
      <c r="AE126" s="10">
        <f>I126+W126*M126+T126*(N126+O126/60)</f>
        <v>120</v>
      </c>
      <c r="AF126" s="10">
        <f>H126+X126*M126+U126*(N126+O126/60)</f>
        <v>133</v>
      </c>
      <c r="AG126" s="10">
        <f>IF(AE126&gt;0,AB126/AE126,0)</f>
        <v>-62.5</v>
      </c>
      <c r="AH126" s="10">
        <f>IF(W126&gt;0,(Q126-T126*E126)/W126,D126-E126)</f>
        <v>23500</v>
      </c>
      <c r="AI126" s="10">
        <f>IF(AH126&gt;0,(Hedef!$C$5+6*F126+G126)/AH126,0)</f>
        <v>6.446808510638298</v>
      </c>
      <c r="AJ126" s="10">
        <f>IF(AI126&gt;0,AI126/Z126,0)</f>
        <v>25.78723404255319</v>
      </c>
      <c r="AK126" s="10">
        <f>IF(AI126&gt;0,AI126/Y126,0)</f>
        <v>64.46808510638297</v>
      </c>
      <c r="AL126" s="10">
        <f>G126+F126*L126/30</f>
        <v>7500</v>
      </c>
      <c r="AM126" s="7" t="str">
        <f>IF(AB126&gt;=Hedef!$C$5,"evet","hayır")</f>
        <v>hayır</v>
      </c>
      <c r="AN126" s="7" t="str">
        <f>IF(AG126&gt;=Hedef!$C$8,"evet","hayır")</f>
        <v>hayır</v>
      </c>
      <c r="AO126" s="7" t="str">
        <f>IF(AE126&lt;=Hedef!$C$14,"evet","hayır")</f>
        <v>evet</v>
      </c>
      <c r="AP126" s="10">
        <f>AB126/Hedef!$C$4</f>
        <v>-156.25</v>
      </c>
    </row>
    <row r="127">
      <c r="A127" s="7" t="str">
        <f>Secenekler!A127</f>
        <v>volley-tap-b</v>
      </c>
      <c r="B127" s="7" t="str">
        <f>Secenekler!C127</f>
        <v>CrazyGames ve Yandex Games portal reklam geliri</v>
      </c>
      <c r="C127" s="17" t="inlineStr">
        <is>
          <t>karma</t>
        </is>
      </c>
      <c r="D127" s="15" t="n">
        <v>3264</v>
      </c>
      <c r="E127" s="15" t="n">
        <v>100</v>
      </c>
      <c r="F127" s="15" t="n">
        <v>100</v>
      </c>
      <c r="G127" s="15" t="n">
        <v>4000</v>
      </c>
      <c r="H127" s="15" t="n">
        <v>80</v>
      </c>
      <c r="I127" s="15" t="n">
        <v>110</v>
      </c>
      <c r="J127" s="15" t="n">
        <v>130</v>
      </c>
      <c r="K127" s="15" t="n">
        <v>75</v>
      </c>
      <c r="L127" s="15" t="n">
        <v>180</v>
      </c>
      <c r="M127" s="15" t="n">
        <v>0</v>
      </c>
      <c r="N127" s="15" t="n">
        <v>0</v>
      </c>
      <c r="O127" s="15" t="n">
        <v>15</v>
      </c>
      <c r="P127" s="15" t="n">
        <v>0</v>
      </c>
      <c r="Q127" s="15" t="n">
        <v>0</v>
      </c>
      <c r="R127" s="15" t="n">
        <v>6500</v>
      </c>
      <c r="S127" s="15" t="n">
        <v>0</v>
      </c>
      <c r="T127" s="15" t="n">
        <v>0</v>
      </c>
      <c r="U127" s="15" t="n">
        <v>1</v>
      </c>
      <c r="V127" s="15" t="n">
        <v>0</v>
      </c>
      <c r="W127" s="15" t="n">
        <v>0</v>
      </c>
      <c r="X127" s="15" t="n">
        <v>1</v>
      </c>
      <c r="Y127" s="21" t="n">
        <v>0.1</v>
      </c>
      <c r="Z127" s="21" t="n">
        <v>0.5</v>
      </c>
      <c r="AA127" s="10">
        <f>P127-S127*E127-6*F127-G127</f>
        <v>-4600</v>
      </c>
      <c r="AB127" s="10">
        <f>Q127-T127*E127-6*F127-G127</f>
        <v>-4600</v>
      </c>
      <c r="AC127" s="10">
        <f>R127-U127*E127-6*F127-G127</f>
        <v>1800</v>
      </c>
      <c r="AD127" s="10">
        <f>J127+V127*M127+S127*(N127+O127/60)</f>
        <v>130</v>
      </c>
      <c r="AE127" s="10">
        <f>I127+W127*M127+T127*(N127+O127/60)</f>
        <v>110</v>
      </c>
      <c r="AF127" s="10">
        <f>H127+X127*M127+U127*(N127+O127/60)</f>
        <v>80.25</v>
      </c>
      <c r="AG127" s="10">
        <f>IF(AE127&gt;0,AB127/AE127,0)</f>
        <v>-41.81818181818182</v>
      </c>
      <c r="AH127" s="10">
        <f>IF(W127&gt;0,(Q127-T127*E127)/W127,D127-E127)</f>
        <v>3164</v>
      </c>
      <c r="AI127" s="10">
        <f>IF(AH127&gt;0,(Hedef!$C$5+6*F127+G127)/AH127,0)</f>
        <v>46.96586599241466</v>
      </c>
      <c r="AJ127" s="10">
        <f>IF(AI127&gt;0,AI127/Z127,0)</f>
        <v>93.93173198482933</v>
      </c>
      <c r="AK127" s="10">
        <f>IF(AI127&gt;0,AI127/Y127,0)</f>
        <v>469.6586599241466</v>
      </c>
      <c r="AL127" s="10">
        <f>G127+F127*L127/30</f>
        <v>4600</v>
      </c>
      <c r="AM127" s="7" t="str">
        <f>IF(AB127&gt;=Hedef!$C$5,"evet","hayır")</f>
        <v>hayır</v>
      </c>
      <c r="AN127" s="7" t="str">
        <f>IF(AG127&gt;=Hedef!$C$8,"evet","hayır")</f>
        <v>hayır</v>
      </c>
      <c r="AO127" s="7" t="str">
        <f>IF(AE127&lt;=Hedef!$C$14,"evet","hayır")</f>
        <v>evet</v>
      </c>
      <c r="AP127" s="10">
        <f>AB127/Hedef!$C$4</f>
        <v>-95.83333333333333</v>
      </c>
    </row>
    <row r="128">
      <c r="A128" s="7" t="str">
        <f>Secenekler!A128</f>
        <v>volley-tap-c</v>
      </c>
      <c r="B128" s="7" t="str">
        <f>Secenekler!C128</f>
        <v>itch.io tarayıcı demo ve ücretli premium paket</v>
      </c>
      <c r="C128" s="17" t="inlineStr">
        <is>
          <t>tek seferlik</t>
        </is>
      </c>
      <c r="D128" s="15" t="n">
        <v>144</v>
      </c>
      <c r="E128" s="15" t="n">
        <v>40</v>
      </c>
      <c r="F128" s="15" t="n">
        <v>0</v>
      </c>
      <c r="G128" s="15" t="n">
        <v>500</v>
      </c>
      <c r="H128" s="15" t="n">
        <v>16</v>
      </c>
      <c r="I128" s="15" t="n">
        <v>32</v>
      </c>
      <c r="J128" s="15" t="n">
        <v>48</v>
      </c>
      <c r="K128" s="15" t="n">
        <v>21</v>
      </c>
      <c r="L128" s="15" t="n">
        <v>120</v>
      </c>
      <c r="M128" s="15" t="n">
        <v>1</v>
      </c>
      <c r="N128" s="15" t="n">
        <v>0</v>
      </c>
      <c r="O128" s="15" t="n">
        <v>5</v>
      </c>
      <c r="P128" s="15" t="n">
        <v>0</v>
      </c>
      <c r="Q128" s="15" t="n">
        <v>430</v>
      </c>
      <c r="R128" s="15" t="n">
        <v>1440</v>
      </c>
      <c r="S128" s="15" t="n">
        <v>0</v>
      </c>
      <c r="T128" s="15" t="n">
        <v>3</v>
      </c>
      <c r="U128" s="15" t="n">
        <v>10</v>
      </c>
      <c r="V128" s="15" t="n">
        <v>0</v>
      </c>
      <c r="W128" s="15" t="n">
        <v>3</v>
      </c>
      <c r="X128" s="15" t="n">
        <v>10</v>
      </c>
      <c r="Y128" s="21" t="n">
        <v>0.01</v>
      </c>
      <c r="Z128" s="21" t="n">
        <v>0.05</v>
      </c>
      <c r="AA128" s="10">
        <f>P128-S128*E128-6*F128-G128</f>
        <v>-500</v>
      </c>
      <c r="AB128" s="10">
        <f>Q128-T128*E128-6*F128-G128</f>
        <v>-190</v>
      </c>
      <c r="AC128" s="10">
        <f>R128-U128*E128-6*F128-G128</f>
        <v>540</v>
      </c>
      <c r="AD128" s="10">
        <f>J128+V128*M128+S128*(N128+O128/60)</f>
        <v>48</v>
      </c>
      <c r="AE128" s="10">
        <f>I128+W128*M128+T128*(N128+O128/60)</f>
        <v>35.25</v>
      </c>
      <c r="AF128" s="10">
        <f>H128+X128*M128+U128*(N128+O128/60)</f>
        <v>26.83333333333333</v>
      </c>
      <c r="AG128" s="10">
        <f>IF(AE128&gt;0,AB128/AE128,0)</f>
        <v>-5.390070921985815</v>
      </c>
      <c r="AH128" s="10">
        <f>IF(W128&gt;0,(Q128-T128*E128)/W128,D128-E128)</f>
        <v>103.3333333333333</v>
      </c>
      <c r="AI128" s="10">
        <f>IF(AH128&gt;0,(Hedef!$C$5+6*F128+G128)/AH128,0)</f>
        <v>1398.387096774194</v>
      </c>
      <c r="AJ128" s="10">
        <f>IF(AI128&gt;0,AI128/Z128,0)</f>
        <v>27967.74193548387</v>
      </c>
      <c r="AK128" s="10">
        <f>IF(AI128&gt;0,AI128/Y128,0)</f>
        <v>139838.7096774194</v>
      </c>
      <c r="AL128" s="10">
        <f>G128+F128*L128/30</f>
        <v>500</v>
      </c>
      <c r="AM128" s="7" t="str">
        <f>IF(AB128&gt;=Hedef!$C$5,"evet","hayır")</f>
        <v>hayır</v>
      </c>
      <c r="AN128" s="7" t="str">
        <f>IF(AG128&gt;=Hedef!$C$8,"evet","hayır")</f>
        <v>hayır</v>
      </c>
      <c r="AO128" s="7" t="str">
        <f>IF(AE128&lt;=Hedef!$C$14,"evet","hayır")</f>
        <v>evet</v>
      </c>
      <c r="AP128" s="10">
        <f>AB128/Hedef!$C$4</f>
        <v>-3.958333333333333</v>
      </c>
    </row>
    <row r="129">
      <c r="A129" s="7" t="str">
        <f>Secenekler!A129</f>
        <v>woocommnts-a</v>
      </c>
      <c r="B129" s="7" t="str">
        <f>Secenekler!C129</f>
        <v>Taksit ve kapıda ödeme eklentisi: ücretsiz çekirdek + Pro</v>
      </c>
      <c r="C129" s="17" t="inlineStr">
        <is>
          <t>yıllık peşin</t>
        </is>
      </c>
      <c r="D129" s="15" t="n">
        <v>1490</v>
      </c>
      <c r="E129" s="15" t="n">
        <v>55</v>
      </c>
      <c r="F129" s="15" t="n">
        <v>100</v>
      </c>
      <c r="G129" s="15" t="n">
        <v>2500</v>
      </c>
      <c r="H129" s="15" t="n">
        <v>40</v>
      </c>
      <c r="I129" s="15" t="n">
        <v>70</v>
      </c>
      <c r="J129" s="15" t="n">
        <v>110</v>
      </c>
      <c r="K129" s="15" t="n">
        <v>60</v>
      </c>
      <c r="L129" s="15" t="n">
        <v>120</v>
      </c>
      <c r="M129" s="15" t="n">
        <v>2</v>
      </c>
      <c r="N129" s="15" t="n">
        <v>0</v>
      </c>
      <c r="O129" s="15" t="n">
        <v>10</v>
      </c>
      <c r="P129" s="15" t="n">
        <v>0</v>
      </c>
      <c r="Q129" s="15" t="n">
        <v>23860</v>
      </c>
      <c r="R129" s="15" t="n">
        <v>65620</v>
      </c>
      <c r="S129" s="15" t="n">
        <v>0</v>
      </c>
      <c r="T129" s="15" t="n">
        <v>14</v>
      </c>
      <c r="U129" s="15" t="n">
        <v>38</v>
      </c>
      <c r="V129" s="15" t="n">
        <v>0</v>
      </c>
      <c r="W129" s="15" t="n">
        <v>14</v>
      </c>
      <c r="X129" s="15" t="n">
        <v>38</v>
      </c>
      <c r="Y129" s="21" t="n">
        <v>0.02</v>
      </c>
      <c r="Z129" s="21" t="n">
        <v>0.05</v>
      </c>
      <c r="AA129" s="10">
        <f>P129-S129*E129-6*F129-G129</f>
        <v>-3100</v>
      </c>
      <c r="AB129" s="10">
        <f>Q129-T129*E129-6*F129-G129</f>
        <v>19990</v>
      </c>
      <c r="AC129" s="10">
        <f>R129-U129*E129-6*F129-G129</f>
        <v>60430</v>
      </c>
      <c r="AD129" s="10">
        <f>J129+V129*M129+S129*(N129+O129/60)</f>
        <v>110</v>
      </c>
      <c r="AE129" s="10">
        <f>I129+W129*M129+T129*(N129+O129/60)</f>
        <v>100.3333333333333</v>
      </c>
      <c r="AF129" s="10">
        <f>H129+X129*M129+U129*(N129+O129/60)</f>
        <v>122.3333333333333</v>
      </c>
      <c r="AG129" s="10">
        <f>IF(AE129&gt;0,AB129/AE129,0)</f>
        <v>199.2358803986711</v>
      </c>
      <c r="AH129" s="10">
        <f>IF(W129&gt;0,(Q129-T129*E129)/W129,D129-E129)</f>
        <v>1649.285714285714</v>
      </c>
      <c r="AI129" s="10">
        <f>IF(AH129&gt;0,(Hedef!$C$5+6*F129+G129)/AH129,0)</f>
        <v>89.19012559549589</v>
      </c>
      <c r="AJ129" s="10">
        <f>IF(AI129&gt;0,AI129/Z129,0)</f>
        <v>1783.802511909918</v>
      </c>
      <c r="AK129" s="10">
        <f>IF(AI129&gt;0,AI129/Y129,0)</f>
        <v>4459.506279774794</v>
      </c>
      <c r="AL129" s="10">
        <f>G129+F129*L129/30</f>
        <v>2900</v>
      </c>
      <c r="AM129" s="7" t="str">
        <f>IF(AB129&gt;=Hedef!$C$5,"evet","hayır")</f>
        <v>hayır</v>
      </c>
      <c r="AN129" s="7" t="str">
        <f>IF(AG129&gt;=Hedef!$C$8,"evet","hayır")</f>
        <v>hayır</v>
      </c>
      <c r="AO129" s="7" t="str">
        <f>IF(AE129&lt;=Hedef!$C$14,"evet","hayır")</f>
        <v>evet</v>
      </c>
      <c r="AP129" s="10">
        <f>AB129/Hedef!$C$4</f>
        <v>416.4583333333333</v>
      </c>
    </row>
    <row r="130">
      <c r="A130" s="7" t="str">
        <f>Secenekler!A130</f>
        <v>woocommnts-b</v>
      </c>
      <c r="B130" s="7" t="str">
        <f>Secenekler!C130</f>
        <v>Ajans paketi: 10 site lisanslı taksit ve kapıda ödeme eklentisi</v>
      </c>
      <c r="C130" s="17" t="inlineStr">
        <is>
          <t>yıllık peşin</t>
        </is>
      </c>
      <c r="D130" s="15" t="n">
        <v>2990</v>
      </c>
      <c r="E130" s="15" t="n">
        <v>120</v>
      </c>
      <c r="F130" s="15" t="n">
        <v>100</v>
      </c>
      <c r="G130" s="15" t="n">
        <v>2500</v>
      </c>
      <c r="H130" s="15" t="n">
        <v>60</v>
      </c>
      <c r="I130" s="15" t="n">
        <v>85</v>
      </c>
      <c r="J130" s="15" t="n">
        <v>120</v>
      </c>
      <c r="K130" s="15" t="n">
        <v>60</v>
      </c>
      <c r="L130" s="15" t="n">
        <v>120</v>
      </c>
      <c r="M130" s="15" t="n">
        <v>4</v>
      </c>
      <c r="N130" s="15" t="n">
        <v>4</v>
      </c>
      <c r="O130" s="15" t="n">
        <v>30</v>
      </c>
      <c r="P130" s="15" t="n">
        <v>0</v>
      </c>
      <c r="Q130" s="15" t="n">
        <v>2990</v>
      </c>
      <c r="R130" s="15" t="n">
        <v>8970</v>
      </c>
      <c r="S130" s="15" t="n">
        <v>0</v>
      </c>
      <c r="T130" s="15" t="n">
        <v>1</v>
      </c>
      <c r="U130" s="15" t="n">
        <v>3</v>
      </c>
      <c r="V130" s="15" t="n">
        <v>0</v>
      </c>
      <c r="W130" s="15" t="n">
        <v>1</v>
      </c>
      <c r="X130" s="15" t="n">
        <v>3</v>
      </c>
      <c r="Y130" s="21" t="n">
        <v>0.1</v>
      </c>
      <c r="Z130" s="21" t="n">
        <v>0.25</v>
      </c>
      <c r="AA130" s="10">
        <f>P130-S130*E130-6*F130-G130</f>
        <v>-3100</v>
      </c>
      <c r="AB130" s="10">
        <f>Q130-T130*E130-6*F130-G130</f>
        <v>-230</v>
      </c>
      <c r="AC130" s="10">
        <f>R130-U130*E130-6*F130-G130</f>
        <v>5510</v>
      </c>
      <c r="AD130" s="10">
        <f>J130+V130*M130+S130*(N130+O130/60)</f>
        <v>120</v>
      </c>
      <c r="AE130" s="10">
        <f>I130+W130*M130+T130*(N130+O130/60)</f>
        <v>93.5</v>
      </c>
      <c r="AF130" s="10">
        <f>H130+X130*M130+U130*(N130+O130/60)</f>
        <v>85.5</v>
      </c>
      <c r="AG130" s="10">
        <f>IF(AE130&gt;0,AB130/AE130,0)</f>
        <v>-2.459893048128342</v>
      </c>
      <c r="AH130" s="10">
        <f>IF(W130&gt;0,(Q130-T130*E130)/W130,D130-E130)</f>
        <v>2870</v>
      </c>
      <c r="AI130" s="10">
        <f>IF(AH130&gt;0,(Hedef!$C$5+6*F130+G130)/AH130,0)</f>
        <v>51.25435540069687</v>
      </c>
      <c r="AJ130" s="10">
        <f>IF(AI130&gt;0,AI130/Z130,0)</f>
        <v>205.0174216027875</v>
      </c>
      <c r="AK130" s="10">
        <f>IF(AI130&gt;0,AI130/Y130,0)</f>
        <v>512.5435540069686</v>
      </c>
      <c r="AL130" s="10">
        <f>G130+F130*L130/30</f>
        <v>2900</v>
      </c>
      <c r="AM130" s="7" t="str">
        <f>IF(AB130&gt;=Hedef!$C$5,"evet","hayır")</f>
        <v>hayır</v>
      </c>
      <c r="AN130" s="7" t="str">
        <f>IF(AG130&gt;=Hedef!$C$8,"evet","hayır")</f>
        <v>hayır</v>
      </c>
      <c r="AO130" s="7" t="str">
        <f>IF(AE130&lt;=Hedef!$C$14,"evet","hayır")</f>
        <v>evet</v>
      </c>
      <c r="AP130" s="10">
        <f>AB130/Hedef!$C$4</f>
        <v>-4.791666666666667</v>
      </c>
    </row>
    <row r="131">
      <c r="A131" s="7" t="str">
        <f>Secenekler!A131</f>
        <v>woocommnts-c</v>
      </c>
      <c r="B131" s="7" t="str">
        <f>Secenekler!C131</f>
        <v>Yorum göç hizmeti: izinli yorumları doğru ürüne eşleme</v>
      </c>
      <c r="C131" s="17" t="inlineStr">
        <is>
          <t>proje</t>
        </is>
      </c>
      <c r="D131" s="15" t="n">
        <v>4000</v>
      </c>
      <c r="E131" s="15" t="n">
        <v>300</v>
      </c>
      <c r="F131" s="15" t="n">
        <v>100</v>
      </c>
      <c r="G131" s="15" t="n">
        <v>2000</v>
      </c>
      <c r="H131" s="15" t="n">
        <v>40</v>
      </c>
      <c r="I131" s="15" t="n">
        <v>60</v>
      </c>
      <c r="J131" s="15" t="n">
        <v>100</v>
      </c>
      <c r="K131" s="15" t="n">
        <v>30</v>
      </c>
      <c r="L131" s="15" t="n">
        <v>90</v>
      </c>
      <c r="M131" s="15" t="n">
        <v>3</v>
      </c>
      <c r="N131" s="15" t="n">
        <v>16</v>
      </c>
      <c r="O131" s="15" t="n">
        <v>20</v>
      </c>
      <c r="P131" s="15" t="n">
        <v>0</v>
      </c>
      <c r="Q131" s="15" t="n">
        <v>8000</v>
      </c>
      <c r="R131" s="15" t="n">
        <v>20000</v>
      </c>
      <c r="S131" s="15" t="n">
        <v>0</v>
      </c>
      <c r="T131" s="15" t="n">
        <v>2</v>
      </c>
      <c r="U131" s="15" t="n">
        <v>5</v>
      </c>
      <c r="V131" s="15" t="n">
        <v>0</v>
      </c>
      <c r="W131" s="15" t="n">
        <v>2</v>
      </c>
      <c r="X131" s="15" t="n">
        <v>5</v>
      </c>
      <c r="Y131" s="21" t="n">
        <v>0.05</v>
      </c>
      <c r="Z131" s="21" t="n">
        <v>0.15</v>
      </c>
      <c r="AA131" s="10">
        <f>P131-S131*E131-6*F131-G131</f>
        <v>-2600</v>
      </c>
      <c r="AB131" s="10">
        <f>Q131-T131*E131-6*F131-G131</f>
        <v>4800</v>
      </c>
      <c r="AC131" s="10">
        <f>R131-U131*E131-6*F131-G131</f>
        <v>15900</v>
      </c>
      <c r="AD131" s="10">
        <f>J131+V131*M131+S131*(N131+O131/60)</f>
        <v>100</v>
      </c>
      <c r="AE131" s="10">
        <f>I131+W131*M131+T131*(N131+O131/60)</f>
        <v>98.66666666666666</v>
      </c>
      <c r="AF131" s="10">
        <f>H131+X131*M131+U131*(N131+O131/60)</f>
        <v>136.6666666666667</v>
      </c>
      <c r="AG131" s="10">
        <f>IF(AE131&gt;0,AB131/AE131,0)</f>
        <v>48.64864864864865</v>
      </c>
      <c r="AH131" s="10">
        <f>IF(W131&gt;0,(Q131-T131*E131)/W131,D131-E131)</f>
        <v>3700</v>
      </c>
      <c r="AI131" s="10">
        <f>IF(AH131&gt;0,(Hedef!$C$5+6*F131+G131)/AH131,0)</f>
        <v>39.62162162162162</v>
      </c>
      <c r="AJ131" s="10">
        <f>IF(AI131&gt;0,AI131/Z131,0)</f>
        <v>264.1441441441441</v>
      </c>
      <c r="AK131" s="10">
        <f>IF(AI131&gt;0,AI131/Y131,0)</f>
        <v>792.4324324324324</v>
      </c>
      <c r="AL131" s="10">
        <f>G131+F131*L131/30</f>
        <v>2300</v>
      </c>
      <c r="AM131" s="7" t="str">
        <f>IF(AB131&gt;=Hedef!$C$5,"evet","hayır")</f>
        <v>hayır</v>
      </c>
      <c r="AN131" s="7" t="str">
        <f>IF(AG131&gt;=Hedef!$C$8,"evet","hayır")</f>
        <v>hayır</v>
      </c>
      <c r="AO131" s="7" t="str">
        <f>IF(AE131&lt;=Hedef!$C$14,"evet","hayır")</f>
        <v>evet</v>
      </c>
      <c r="AP131" s="10">
        <f>AB131/Hedef!$C$4</f>
        <v>100</v>
      </c>
    </row>
    <row r="132">
      <c r="A132" s="7" t="str">
        <f>Secenekler!A132</f>
        <v>egitim-demolari-a</v>
      </c>
      <c r="B132" s="7" t="str">
        <f>Secenekler!C132</f>
        <v>Tek kazanımlı ders paketi (rehber ve cevap anahtarı)</v>
      </c>
      <c r="C132" s="17" t="inlineStr">
        <is>
          <t>tek seferlik</t>
        </is>
      </c>
      <c r="D132" s="15" t="n">
        <v>600</v>
      </c>
      <c r="E132" s="15" t="n">
        <v>30</v>
      </c>
      <c r="F132" s="15" t="n">
        <v>150</v>
      </c>
      <c r="G132" s="15" t="n">
        <v>3000</v>
      </c>
      <c r="H132" s="15" t="n">
        <v>50</v>
      </c>
      <c r="I132" s="15" t="n">
        <v>90</v>
      </c>
      <c r="J132" s="15" t="n">
        <v>140</v>
      </c>
      <c r="K132" s="15" t="n">
        <v>21</v>
      </c>
      <c r="L132" s="15" t="n">
        <v>75</v>
      </c>
      <c r="M132" s="15" t="n">
        <v>1.5</v>
      </c>
      <c r="N132" s="15" t="n">
        <v>0</v>
      </c>
      <c r="O132" s="15" t="n">
        <v>10</v>
      </c>
      <c r="P132" s="15" t="n">
        <v>0</v>
      </c>
      <c r="Q132" s="15" t="n">
        <v>1800</v>
      </c>
      <c r="R132" s="15" t="n">
        <v>6000</v>
      </c>
      <c r="S132" s="15" t="n">
        <v>0</v>
      </c>
      <c r="T132" s="15" t="n">
        <v>3</v>
      </c>
      <c r="U132" s="15" t="n">
        <v>10</v>
      </c>
      <c r="V132" s="15" t="n">
        <v>0</v>
      </c>
      <c r="W132" s="15" t="n">
        <v>3</v>
      </c>
      <c r="X132" s="15" t="n">
        <v>10</v>
      </c>
      <c r="Y132" s="21" t="n">
        <v>0.01</v>
      </c>
      <c r="Z132" s="21" t="n">
        <v>0.04</v>
      </c>
      <c r="AA132" s="10">
        <f>P132-S132*E132-6*F132-G132</f>
        <v>-3900</v>
      </c>
      <c r="AB132" s="10">
        <f>Q132-T132*E132-6*F132-G132</f>
        <v>-2190</v>
      </c>
      <c r="AC132" s="10">
        <f>R132-U132*E132-6*F132-G132</f>
        <v>1800</v>
      </c>
      <c r="AD132" s="10">
        <f>J132+V132*M132+S132*(N132+O132/60)</f>
        <v>140</v>
      </c>
      <c r="AE132" s="10">
        <f>I132+W132*M132+T132*(N132+O132/60)</f>
        <v>95</v>
      </c>
      <c r="AF132" s="10">
        <f>H132+X132*M132+U132*(N132+O132/60)</f>
        <v>66.66666666666667</v>
      </c>
      <c r="AG132" s="10">
        <f>IF(AE132&gt;0,AB132/AE132,0)</f>
        <v>-23.05263157894737</v>
      </c>
      <c r="AH132" s="10">
        <f>IF(W132&gt;0,(Q132-T132*E132)/W132,D132-E132)</f>
        <v>570</v>
      </c>
      <c r="AI132" s="10">
        <f>IF(AH132&gt;0,(Hedef!$C$5+6*F132+G132)/AH132,0)</f>
        <v>259.4736842105263</v>
      </c>
      <c r="AJ132" s="10">
        <f>IF(AI132&gt;0,AI132/Z132,0)</f>
        <v>6486.842105263157</v>
      </c>
      <c r="AK132" s="10">
        <f>IF(AI132&gt;0,AI132/Y132,0)</f>
        <v>25947.36842105263</v>
      </c>
      <c r="AL132" s="10">
        <f>G132+F132*L132/30</f>
        <v>3375</v>
      </c>
      <c r="AM132" s="7" t="str">
        <f>IF(AB132&gt;=Hedef!$C$5,"evet","hayır")</f>
        <v>hayır</v>
      </c>
      <c r="AN132" s="7" t="str">
        <f>IF(AG132&gt;=Hedef!$C$8,"evet","hayır")</f>
        <v>hayır</v>
      </c>
      <c r="AO132" s="7" t="str">
        <f>IF(AE132&lt;=Hedef!$C$14,"evet","hayır")</f>
        <v>evet</v>
      </c>
      <c r="AP132" s="10">
        <f>AB132/Hedef!$C$4</f>
        <v>-45.625</v>
      </c>
    </row>
    <row r="133">
      <c r="A133" s="7" t="str">
        <f>Secenekler!A133</f>
        <v>egitim-demolari-b</v>
      </c>
      <c r="B133" s="7" t="str">
        <f>Secenekler!C133</f>
        <v>Ekip atölyesi: prensipleri kendi işine uyarlama</v>
      </c>
      <c r="C133" s="17" t="inlineStr">
        <is>
          <t>proje</t>
        </is>
      </c>
      <c r="D133" s="15" t="n">
        <v>6000</v>
      </c>
      <c r="E133" s="15" t="n">
        <v>0</v>
      </c>
      <c r="F133" s="15" t="n">
        <v>0</v>
      </c>
      <c r="G133" s="15" t="n">
        <v>1000</v>
      </c>
      <c r="H133" s="15" t="n">
        <v>25</v>
      </c>
      <c r="I133" s="15" t="n">
        <v>45</v>
      </c>
      <c r="J133" s="15" t="n">
        <v>80</v>
      </c>
      <c r="K133" s="15" t="n">
        <v>45</v>
      </c>
      <c r="L133" s="15" t="n">
        <v>90</v>
      </c>
      <c r="M133" s="15" t="n">
        <v>8</v>
      </c>
      <c r="N133" s="15" t="n">
        <v>10</v>
      </c>
      <c r="O133" s="15" t="n">
        <v>30</v>
      </c>
      <c r="P133" s="15" t="n">
        <v>0</v>
      </c>
      <c r="Q133" s="15" t="n">
        <v>6000</v>
      </c>
      <c r="R133" s="15" t="n">
        <v>24000</v>
      </c>
      <c r="S133" s="15" t="n">
        <v>0</v>
      </c>
      <c r="T133" s="15" t="n">
        <v>1</v>
      </c>
      <c r="U133" s="15" t="n">
        <v>4</v>
      </c>
      <c r="V133" s="15" t="n">
        <v>0</v>
      </c>
      <c r="W133" s="15" t="n">
        <v>1</v>
      </c>
      <c r="X133" s="15" t="n">
        <v>4</v>
      </c>
      <c r="Y133" s="21" t="n">
        <v>0.02</v>
      </c>
      <c r="Z133" s="21" t="n">
        <v>0.1</v>
      </c>
      <c r="AA133" s="10">
        <f>P133-S133*E133-6*F133-G133</f>
        <v>-1000</v>
      </c>
      <c r="AB133" s="10">
        <f>Q133-T133*E133-6*F133-G133</f>
        <v>5000</v>
      </c>
      <c r="AC133" s="10">
        <f>R133-U133*E133-6*F133-G133</f>
        <v>23000</v>
      </c>
      <c r="AD133" s="10">
        <f>J133+V133*M133+S133*(N133+O133/60)</f>
        <v>80</v>
      </c>
      <c r="AE133" s="10">
        <f>I133+W133*M133+T133*(N133+O133/60)</f>
        <v>63.5</v>
      </c>
      <c r="AF133" s="10">
        <f>H133+X133*M133+U133*(N133+O133/60)</f>
        <v>99</v>
      </c>
      <c r="AG133" s="10">
        <f>IF(AE133&gt;0,AB133/AE133,0)</f>
        <v>78.74015748031496</v>
      </c>
      <c r="AH133" s="10">
        <f>IF(W133&gt;0,(Q133-T133*E133)/W133,D133-E133)</f>
        <v>6000</v>
      </c>
      <c r="AI133" s="10">
        <f>IF(AH133&gt;0,(Hedef!$C$5+6*F133+G133)/AH133,0)</f>
        <v>24.16666666666667</v>
      </c>
      <c r="AJ133" s="10">
        <f>IF(AI133&gt;0,AI133/Z133,0)</f>
        <v>241.6666666666667</v>
      </c>
      <c r="AK133" s="10">
        <f>IF(AI133&gt;0,AI133/Y133,0)</f>
        <v>1208.333333333333</v>
      </c>
      <c r="AL133" s="10">
        <f>G133+F133*L133/30</f>
        <v>1000</v>
      </c>
      <c r="AM133" s="7" t="str">
        <f>IF(AB133&gt;=Hedef!$C$5,"evet","hayır")</f>
        <v>hayır</v>
      </c>
      <c r="AN133" s="7" t="str">
        <f>IF(AG133&gt;=Hedef!$C$8,"evet","hayır")</f>
        <v>hayır</v>
      </c>
      <c r="AO133" s="7" t="str">
        <f>IF(AE133&lt;=Hedef!$C$14,"evet","hayır")</f>
        <v>evet</v>
      </c>
      <c r="AP133" s="10">
        <f>AB133/Hedef!$C$4</f>
        <v>104.1666666666667</v>
      </c>
    </row>
    <row r="134">
      <c r="A134" s="7" t="str">
        <f>Secenekler!A134</f>
        <v>baz-secenekler-a</v>
      </c>
      <c r="B134" s="7" t="str">
        <f>Secenekler!C134</f>
        <v>Günlük ücretli danışmanlık ya da yazılım işi (aynı saatlerde)</v>
      </c>
      <c r="C134" s="17" t="inlineStr">
        <is>
          <t>proje</t>
        </is>
      </c>
      <c r="D134" s="15" t="n">
        <v>20000</v>
      </c>
      <c r="E134" s="15" t="n">
        <v>150</v>
      </c>
      <c r="F134" s="15" t="n">
        <v>1500</v>
      </c>
      <c r="G134" s="15" t="n">
        <v>2000</v>
      </c>
      <c r="H134" s="15" t="n">
        <v>8</v>
      </c>
      <c r="I134" s="15" t="n">
        <v>16</v>
      </c>
      <c r="J134" s="15" t="n">
        <v>30</v>
      </c>
      <c r="K134" s="15" t="n">
        <v>30</v>
      </c>
      <c r="L134" s="15" t="n">
        <v>60</v>
      </c>
      <c r="M134" s="15" t="n">
        <v>8</v>
      </c>
      <c r="N134" s="15" t="n">
        <v>40</v>
      </c>
      <c r="O134" s="15" t="n">
        <v>30</v>
      </c>
      <c r="P134" s="15" t="n">
        <v>20000</v>
      </c>
      <c r="Q134" s="15" t="n">
        <v>80000</v>
      </c>
      <c r="R134" s="15" t="n">
        <v>160000</v>
      </c>
      <c r="S134" s="15" t="n">
        <v>1</v>
      </c>
      <c r="T134" s="15" t="n">
        <v>4</v>
      </c>
      <c r="U134" s="15" t="n">
        <v>8</v>
      </c>
      <c r="V134" s="15" t="n">
        <v>1</v>
      </c>
      <c r="W134" s="15" t="n">
        <v>1</v>
      </c>
      <c r="X134" s="15" t="n">
        <v>2</v>
      </c>
      <c r="Y134" s="21" t="n">
        <v>0.1</v>
      </c>
      <c r="Z134" s="21" t="n">
        <v>0.3</v>
      </c>
      <c r="AA134" s="10">
        <f>P134-S134*E134-6*F134-G134</f>
        <v>8850</v>
      </c>
      <c r="AB134" s="10">
        <f>Q134-T134*E134-6*F134-G134</f>
        <v>68400</v>
      </c>
      <c r="AC134" s="10">
        <f>R134-U134*E134-6*F134-G134</f>
        <v>147800</v>
      </c>
      <c r="AD134" s="10">
        <f>J134+V134*M134+S134*(N134+O134/60)</f>
        <v>78.5</v>
      </c>
      <c r="AE134" s="10">
        <f>I134+W134*M134+T134*(N134+O134/60)</f>
        <v>186</v>
      </c>
      <c r="AF134" s="10">
        <f>H134+X134*M134+U134*(N134+O134/60)</f>
        <v>348</v>
      </c>
      <c r="AG134" s="10">
        <f>IF(AE134&gt;0,AB134/AE134,0)</f>
        <v>367.741935483871</v>
      </c>
      <c r="AH134" s="10">
        <f>IF(W134&gt;0,(Q134-T134*E134)/W134,D134-E134)</f>
        <v>79400</v>
      </c>
      <c r="AI134" s="10">
        <f>IF(AH134&gt;0,(Hedef!$C$5+6*F134+G134)/AH134,0)</f>
        <v>1.952141057934509</v>
      </c>
      <c r="AJ134" s="10">
        <f>IF(AI134&gt;0,AI134/Z134,0)</f>
        <v>6.507136859781697</v>
      </c>
      <c r="AK134" s="10">
        <f>IF(AI134&gt;0,AI134/Y134,0)</f>
        <v>19.52141057934509</v>
      </c>
      <c r="AL134" s="10">
        <f>G134+F134*L134/30</f>
        <v>5000</v>
      </c>
      <c r="AM134" s="7" t="str">
        <f>IF(AB134&gt;=Hedef!$C$5,"evet","hayır")</f>
        <v>hayır</v>
      </c>
      <c r="AN134" s="7" t="str">
        <f>IF(AG134&gt;=Hedef!$C$8,"evet","hayır")</f>
        <v>hayır</v>
      </c>
      <c r="AO134" s="7" t="str">
        <f>IF(AE134&lt;=Hedef!$C$14,"evet","hayır")</f>
        <v>evet</v>
      </c>
      <c r="AP134" s="10">
        <f>AB134/Hedef!$C$4</f>
        <v>1425</v>
      </c>
    </row>
    <row r="135">
      <c r="A135" s="7" t="str">
        <f>Secenekler!A135</f>
        <v>baz-secenekler-b</v>
      </c>
      <c r="B135" s="7" t="str">
        <f>Secenekler!C135</f>
        <v>Mevcut Django kod tabanının ajanslara kurulumlu satışı</v>
      </c>
      <c r="C135" s="17" t="inlineStr">
        <is>
          <t>tek seferlik</t>
        </is>
      </c>
      <c r="D135" s="15" t="n">
        <v>20000</v>
      </c>
      <c r="E135" s="15" t="n">
        <v>3000</v>
      </c>
      <c r="F135" s="15" t="n">
        <v>250</v>
      </c>
      <c r="G135" s="15" t="n">
        <v>2000</v>
      </c>
      <c r="H135" s="15" t="n">
        <v>40</v>
      </c>
      <c r="I135" s="15" t="n">
        <v>60</v>
      </c>
      <c r="J135" s="15" t="n">
        <v>100</v>
      </c>
      <c r="K135" s="15" t="n">
        <v>60</v>
      </c>
      <c r="L135" s="15" t="n">
        <v>150</v>
      </c>
      <c r="M135" s="15" t="n">
        <v>10</v>
      </c>
      <c r="N135" s="15" t="n">
        <v>30</v>
      </c>
      <c r="O135" s="15" t="n">
        <v>20</v>
      </c>
      <c r="P135" s="15" t="n">
        <v>0</v>
      </c>
      <c r="Q135" s="15" t="n">
        <v>20000</v>
      </c>
      <c r="R135" s="15" t="n">
        <v>45000</v>
      </c>
      <c r="S135" s="15" t="n">
        <v>0</v>
      </c>
      <c r="T135" s="15" t="n">
        <v>1</v>
      </c>
      <c r="U135" s="15" t="n">
        <v>2</v>
      </c>
      <c r="V135" s="15" t="n">
        <v>0</v>
      </c>
      <c r="W135" s="15" t="n">
        <v>1</v>
      </c>
      <c r="X135" s="15" t="n">
        <v>2</v>
      </c>
      <c r="Y135" s="21" t="n">
        <v>0.025</v>
      </c>
      <c r="Z135" s="21" t="n">
        <v>0.1</v>
      </c>
      <c r="AA135" s="10">
        <f>P135-S135*E135-6*F135-G135</f>
        <v>-3500</v>
      </c>
      <c r="AB135" s="10">
        <f>Q135-T135*E135-6*F135-G135</f>
        <v>13500</v>
      </c>
      <c r="AC135" s="10">
        <f>R135-U135*E135-6*F135-G135</f>
        <v>35500</v>
      </c>
      <c r="AD135" s="10">
        <f>J135+V135*M135+S135*(N135+O135/60)</f>
        <v>100</v>
      </c>
      <c r="AE135" s="10">
        <f>I135+W135*M135+T135*(N135+O135/60)</f>
        <v>100.3333333333333</v>
      </c>
      <c r="AF135" s="10">
        <f>H135+X135*M135+U135*(N135+O135/60)</f>
        <v>120.6666666666667</v>
      </c>
      <c r="AG135" s="10">
        <f>IF(AE135&gt;0,AB135/AE135,0)</f>
        <v>134.5514950166113</v>
      </c>
      <c r="AH135" s="10">
        <f>IF(W135&gt;0,(Q135-T135*E135)/W135,D135-E135)</f>
        <v>17000</v>
      </c>
      <c r="AI135" s="10">
        <f>IF(AH135&gt;0,(Hedef!$C$5+6*F135+G135)/AH135,0)</f>
        <v>8.676470588235293</v>
      </c>
      <c r="AJ135" s="10">
        <f>IF(AI135&gt;0,AI135/Z135,0)</f>
        <v>86.76470588235293</v>
      </c>
      <c r="AK135" s="10">
        <f>IF(AI135&gt;0,AI135/Y135,0)</f>
        <v>347.0588235294117</v>
      </c>
      <c r="AL135" s="10">
        <f>G135+F135*L135/30</f>
        <v>3250</v>
      </c>
      <c r="AM135" s="7" t="str">
        <f>IF(AB135&gt;=Hedef!$C$5,"evet","hayır")</f>
        <v>hayır</v>
      </c>
      <c r="AN135" s="7" t="str">
        <f>IF(AG135&gt;=Hedef!$C$8,"evet","hayır")</f>
        <v>hayır</v>
      </c>
      <c r="AO135" s="7" t="str">
        <f>IF(AE135&lt;=Hedef!$C$14,"evet","hayır")</f>
        <v>evet</v>
      </c>
      <c r="AP135" s="10">
        <f>AB135/Hedef!$C$4</f>
        <v>281.25</v>
      </c>
    </row>
    <row r="136">
      <c r="A136" s="7" t="str">
        <f>Secenekler!A136</f>
        <v>baz-secenekler-c</v>
      </c>
      <c r="B136" s="7" t="str">
        <f>Secenekler!C136</f>
        <v>Kamu destek programı başvurusu: TÜBİTAK 1812 ön tohum yatırımı</v>
      </c>
      <c r="C136" s="17" t="inlineStr">
        <is>
          <t>tek seferlik</t>
        </is>
      </c>
      <c r="D136" s="15" t="n">
        <v>1350000</v>
      </c>
      <c r="E136" s="15" t="n">
        <v>0</v>
      </c>
      <c r="F136" s="15" t="n">
        <v>3000</v>
      </c>
      <c r="G136" s="15" t="n">
        <v>25000</v>
      </c>
      <c r="H136" s="15" t="n">
        <v>40</v>
      </c>
      <c r="I136" s="15" t="n">
        <v>60</v>
      </c>
      <c r="J136" s="15" t="n">
        <v>100</v>
      </c>
      <c r="K136" s="15" t="n">
        <v>110</v>
      </c>
      <c r="L136" s="15" t="n">
        <v>240</v>
      </c>
      <c r="M136" s="15" t="n">
        <v>8</v>
      </c>
      <c r="N136" s="15" t="n">
        <v>0</v>
      </c>
      <c r="O136" s="15" t="n">
        <v>120</v>
      </c>
      <c r="P136" s="15" t="n">
        <v>0</v>
      </c>
      <c r="Q136" s="15" t="n">
        <v>0</v>
      </c>
      <c r="R136" s="15" t="n">
        <v>0</v>
      </c>
      <c r="S136" s="15" t="n">
        <v>0</v>
      </c>
      <c r="T136" s="15" t="n">
        <v>0</v>
      </c>
      <c r="U136" s="15" t="n">
        <v>0</v>
      </c>
      <c r="V136" s="15" t="n">
        <v>0</v>
      </c>
      <c r="W136" s="15" t="n">
        <v>0</v>
      </c>
      <c r="X136" s="15" t="n">
        <v>0</v>
      </c>
      <c r="Y136" s="21" t="n">
        <v>0.05</v>
      </c>
      <c r="Z136" s="21" t="n">
        <v>0.2</v>
      </c>
      <c r="AA136" s="10">
        <f>P136-S136*E136-6*F136-G136</f>
        <v>-43000</v>
      </c>
      <c r="AB136" s="10">
        <f>Q136-T136*E136-6*F136-G136</f>
        <v>-43000</v>
      </c>
      <c r="AC136" s="10">
        <f>R136-U136*E136-6*F136-G136</f>
        <v>-43000</v>
      </c>
      <c r="AD136" s="10">
        <f>J136+V136*M136+S136*(N136+O136/60)</f>
        <v>100</v>
      </c>
      <c r="AE136" s="10">
        <f>I136+W136*M136+T136*(N136+O136/60)</f>
        <v>60</v>
      </c>
      <c r="AF136" s="10">
        <f>H136+X136*M136+U136*(N136+O136/60)</f>
        <v>40</v>
      </c>
      <c r="AG136" s="10">
        <f>IF(AE136&gt;0,AB136/AE136,0)</f>
        <v>-716.6666666666666</v>
      </c>
      <c r="AH136" s="10">
        <f>IF(W136&gt;0,(Q136-T136*E136)/W136,D136-E136)</f>
        <v>1350000</v>
      </c>
      <c r="AI136" s="10">
        <f>IF(AH136&gt;0,(Hedef!$C$5+6*F136+G136)/AH136,0)</f>
        <v>0.1385185185185185</v>
      </c>
      <c r="AJ136" s="10">
        <f>IF(AI136&gt;0,AI136/Z136,0)</f>
        <v>0.6925925925925925</v>
      </c>
      <c r="AK136" s="10">
        <f>IF(AI136&gt;0,AI136/Y136,0)</f>
        <v>2.77037037037037</v>
      </c>
      <c r="AL136" s="10">
        <f>G136+F136*L136/30</f>
        <v>49000</v>
      </c>
      <c r="AM136" s="7" t="str">
        <f>IF(AB136&gt;=Hedef!$C$5,"evet","hayır")</f>
        <v>hayır</v>
      </c>
      <c r="AN136" s="7" t="str">
        <f>IF(AG136&gt;=Hedef!$C$8,"evet","hayır")</f>
        <v>hayır</v>
      </c>
      <c r="AO136" s="7" t="str">
        <f>IF(AE136&lt;=Hedef!$C$14,"evet","hayır")</f>
        <v>evet</v>
      </c>
      <c r="AP136" s="10">
        <f>AB136/Hedef!$C$4</f>
        <v>-895.8333333333334</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T13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34" customWidth="1" min="3" max="3"/>
    <col width="9" customWidth="1" min="4" max="4"/>
    <col width="9" customWidth="1" min="5" max="5"/>
    <col width="9" customWidth="1" min="6" max="6"/>
    <col width="11" customWidth="1" min="7" max="7"/>
    <col width="9" customWidth="1" min="8" max="8"/>
    <col width="10" customWidth="1" min="9" max="9"/>
    <col width="14" customWidth="1" min="10" max="10"/>
    <col width="8" customWidth="1" min="11" max="11"/>
    <col width="8" customWidth="1" min="12" max="12"/>
    <col width="8" customWidth="1" min="13" max="13"/>
    <col width="14" customWidth="1" min="14" max="14"/>
    <col width="8" customWidth="1" min="15" max="15"/>
    <col width="14" customWidth="1" min="16" max="16"/>
    <col width="10" customWidth="1" min="17" max="17"/>
    <col width="12" customWidth="1" min="18" max="18"/>
    <col width="14" customWidth="1" min="19" max="19"/>
    <col width="10" customWidth="1" min="20" max="20"/>
  </cols>
  <sheetData>
    <row r="1">
      <c r="A1" s="1" t="inlineStr">
        <is>
          <t>Hesap</t>
        </is>
      </c>
    </row>
    <row r="2">
      <c r="A2" s="3" t="inlineStr">
        <is>
          <t>Bütün sütunlar formüldür.</t>
        </is>
      </c>
    </row>
    <row r="4" ht="44" customHeight="1">
      <c r="A4" s="4" t="inlineStr">
        <is>
          <t>Kimlik</t>
        </is>
      </c>
      <c r="B4" s="4" t="inlineStr">
        <is>
          <t>Seçenek</t>
        </is>
      </c>
      <c r="C4" s="4" t="inlineStr">
        <is>
          <t>Proje</t>
        </is>
      </c>
      <c r="D4" s="4" t="inlineStr">
        <is>
          <t>Kapı</t>
        </is>
      </c>
      <c r="E4" s="4" t="inlineStr">
        <is>
          <t>Uygunluk puanı</t>
        </is>
      </c>
      <c r="F4" s="4" t="inlineStr">
        <is>
          <t>Puanlanan ağırlık</t>
        </is>
      </c>
      <c r="G4" s="4" t="inlineStr">
        <is>
          <t>Kanıtla düzeltilmiş puan</t>
        </is>
      </c>
      <c r="H4" s="4" t="inlineStr">
        <is>
          <t>Ortalama kanıt</t>
        </is>
      </c>
      <c r="I4" s="4" t="inlineStr">
        <is>
          <t>Stratejik puan</t>
        </is>
      </c>
      <c r="J4" s="4" t="inlineStr">
        <is>
          <t>6 ay net nakit (baz)</t>
        </is>
      </c>
      <c r="K4" s="4" t="inlineStr">
        <is>
          <t>A6 kanıt</t>
        </is>
      </c>
      <c r="L4" s="4" t="inlineStr">
        <is>
          <t>Uygunluk yeterli</t>
        </is>
      </c>
      <c r="M4" s="4" t="inlineStr">
        <is>
          <t>Nakit yeterli</t>
        </is>
      </c>
      <c r="N4" s="4" t="inlineStr">
        <is>
          <t>Karar</t>
        </is>
      </c>
      <c r="O4" s="4" t="inlineStr">
        <is>
          <t>Sınıf</t>
        </is>
      </c>
      <c r="P4" s="4" t="inlineStr">
        <is>
          <t>Sıra anahtarı</t>
        </is>
      </c>
      <c r="Q4" s="4" t="inlineStr">
        <is>
          <t>Yatırım sırası</t>
        </is>
      </c>
      <c r="R4" s="4" t="inlineStr">
        <is>
          <t>Öğrenme endeksi</t>
        </is>
      </c>
      <c r="S4" s="4" t="inlineStr">
        <is>
          <t>Öğrenme anahtarı</t>
        </is>
      </c>
      <c r="T4" s="4" t="inlineStr">
        <is>
          <t>Öğrenme sırası</t>
        </is>
      </c>
    </row>
    <row r="5">
      <c r="A5" s="7" t="str">
        <f>Secenekler!A5</f>
        <v>zabuno-a</v>
      </c>
      <c r="B5" s="7" t="str">
        <f>Secenekler!C5</f>
        <v>Kafe aboneliği: kurulum dahil Restaurant planı</v>
      </c>
      <c r="C5" s="7" t="str">
        <f>Secenekler!B5</f>
        <v>Zabuno (QR menü ve sipariş yazılımı)</v>
      </c>
      <c r="D5" s="7" t="str">
        <f>Kapilar!K5</f>
        <v>test</v>
      </c>
      <c r="E5" s="8">
        <f>SUMPRODUCT(Puanlar!$C$3:$AB$3,Puanlar!C5:AB5)/5</f>
        <v>57</v>
      </c>
      <c r="F5" s="8">
        <f>SUMIF(Puanlar!C5:AB5,"&gt;=0",Puanlar!$C$3:$AB$3)</f>
        <v>100</v>
      </c>
      <c r="G5" s="8">
        <f>SUMPRODUCT(Puanlar!$C$3:$AB$3,Puanlar!C5:AB5,Guven!C5:AB5)/5</f>
        <v>23.5</v>
      </c>
      <c r="H5" s="9">
        <f>SUMPRODUCT(Puanlar!$C$3:$AB$3,Kanit!C5:AB5)/SUM(Puanlar!$C$3:$AB$3)</f>
        <v>0.53</v>
      </c>
      <c r="I5" s="8">
        <f>SUMPRODUCT(Puanlar!$AD$3:$AG$3,Puanlar!AD5:AG5)/5</f>
        <v>60</v>
      </c>
      <c r="J5" s="10">
        <f>Finans!AB5</f>
        <v>-53512</v>
      </c>
      <c r="K5" s="5">
        <f>Kanit!H5</f>
        <v>1</v>
      </c>
      <c r="L5" s="5">
        <f>IF(E5&gt;=Hedef!$C$10,1,0)</f>
        <v>1</v>
      </c>
      <c r="M5" s="5">
        <f>IF(AND(J5&gt;=Hedef!$C$5*Hedef!$C$11,Finans!AE5&lt;=Hedef!$C$14),1,0)</f>
        <v>0</v>
      </c>
      <c r="N5" s="7" t="str">
        <f>IF(D5="kaldi","Kapıda kaldı",IF(AND(D5="gecti",L5=1,K5&gt;=Hedef!$C$13,J5&gt;=Hedef!$C$5),"Yatırım yap",IF(AND(L5=1,M5=1),"Önce test et",IF(OR(L5=1,M5=1),"Değiştir",IF(I5&gt;=Hedef!$C$12,"Beklet","Bırak")))))</f>
        <v>Değiştir</v>
      </c>
      <c r="O5" s="5">
        <f>IF(N5="Yatırım yap",0,IF(N5="Önce test et",1,IF(N5="Değiştir",2,IF(N5="Beklet",3,IF(N5="Bırak",4,9)))))</f>
        <v>2</v>
      </c>
      <c r="P5" s="22">
        <f>IF(D5="kaldi","",O5*1000-G5+5/1000000000)</f>
        <v>1976.500000005</v>
      </c>
      <c r="Q5" s="5">
        <f>IF(D5="kaldi","",1+COUNTIF($P$5:$P$136,"&lt;"&amp;P5))</f>
        <v>6</v>
      </c>
      <c r="R5" s="23">
        <f>IF(D5="kaldi","",E5*(1-IF(E5&gt;0,G5/E5,0))/MAX(1,Deneyler!F5))</f>
        <v>0.8375</v>
      </c>
      <c r="S5" s="22">
        <f>IF(D5="kaldi","",-R5+5/1000000000)</f>
        <v>-0.837499995</v>
      </c>
      <c r="T5" s="5">
        <f>IF(D5="kaldi","",1+COUNTIF($S$5:$S$136,"&lt;"&amp;S5))</f>
        <v>82</v>
      </c>
    </row>
    <row r="6">
      <c r="A6" s="7" t="str">
        <f>Secenekler!A6</f>
        <v>zabuno-b</v>
      </c>
      <c r="B6" s="7" t="str">
        <f>Secenekler!C6</f>
        <v>Zincir planı: çok şubeli kahve zinciri pilotu</v>
      </c>
      <c r="C6" s="7" t="str">
        <f>Secenekler!B6</f>
        <v>Zabuno (QR menü ve sipariş yazılımı)</v>
      </c>
      <c r="D6" s="7" t="str">
        <f>Kapilar!K6</f>
        <v>kaldi</v>
      </c>
      <c r="E6" s="8">
        <f>SUMPRODUCT(Puanlar!$C$3:$AB$3,Puanlar!C6:AB6)/5</f>
        <v>43.4</v>
      </c>
      <c r="F6" s="8">
        <f>SUMIF(Puanlar!C6:AB6,"&gt;=0",Puanlar!$C$3:$AB$3)</f>
        <v>100</v>
      </c>
      <c r="G6" s="8">
        <f>SUMPRODUCT(Puanlar!$C$3:$AB$3,Puanlar!C6:AB6,Guven!C6:AB6)/5</f>
        <v>18.54</v>
      </c>
      <c r="H6" s="9">
        <f>SUMPRODUCT(Puanlar!$C$3:$AB$3,Kanit!C6:AB6)/SUM(Puanlar!$C$3:$AB$3)</f>
        <v>0.59</v>
      </c>
      <c r="I6" s="8">
        <f>SUMPRODUCT(Puanlar!$AD$3:$AG$3,Puanlar!AD6:AG6)/5</f>
        <v>55</v>
      </c>
      <c r="J6" s="10">
        <f>Finans!AB6</f>
        <v>-61600</v>
      </c>
      <c r="K6" s="5">
        <f>Kanit!H6</f>
        <v>1</v>
      </c>
      <c r="L6" s="5">
        <f>IF(E6&gt;=Hedef!$C$10,1,0)</f>
        <v>0</v>
      </c>
      <c r="M6" s="5">
        <f>IF(AND(J6&gt;=Hedef!$C$5*Hedef!$C$11,Finans!AE6&lt;=Hedef!$C$14),1,0)</f>
        <v>0</v>
      </c>
      <c r="N6" s="7" t="str">
        <f>IF(D6="kaldi","Kapıda kaldı",IF(AND(D6="gecti",L6=1,K6&gt;=Hedef!$C$13,J6&gt;=Hedef!$C$5),"Yatırım yap",IF(AND(L6=1,M6=1),"Önce test et",IF(OR(L6=1,M6=1),"Değiştir",IF(I6&gt;=Hedef!$C$12,"Beklet","Bırak")))))</f>
        <v>Kapıda kaldı</v>
      </c>
      <c r="O6" s="5">
        <f>IF(N6="Yatırım yap",0,IF(N6="Önce test et",1,IF(N6="Değiştir",2,IF(N6="Beklet",3,IF(N6="Bırak",4,9)))))</f>
        <v>9</v>
      </c>
      <c r="P6" s="22" t="str">
        <f>IF(D6="kaldi","",O6*1000-G6+6/1000000000)</f>
        <v/>
      </c>
      <c r="Q6" s="5" t="str">
        <f>IF(D6="kaldi","",1+COUNTIF($P$5:$P$136,"&lt;"&amp;P6))</f>
        <v/>
      </c>
      <c r="R6" s="23" t="str">
        <f>IF(D6="kaldi","",E6*(1-IF(E6&gt;0,G6/E6,0))/MAX(1,Deneyler!F6))</f>
        <v/>
      </c>
      <c r="S6" s="22" t="str">
        <f>IF(D6="kaldi","",-R6+6/1000000000)</f>
        <v/>
      </c>
      <c r="T6" s="5" t="str">
        <f>IF(D6="kaldi","",1+COUNTIF($S$5:$S$136,"&lt;"&amp;S6))</f>
        <v/>
      </c>
    </row>
    <row r="7">
      <c r="A7" s="7" t="str">
        <f>Secenekler!A7</f>
        <v>zabuno-c</v>
      </c>
      <c r="B7" s="7" t="str">
        <f>Secenekler!C7</f>
        <v>Restoran paneli modül uyarlama hizmeti</v>
      </c>
      <c r="C7" s="7" t="str">
        <f>Secenekler!B7</f>
        <v>Zabuno (QR menü ve sipariş yazılımı)</v>
      </c>
      <c r="D7" s="7" t="str">
        <f>Kapilar!K7</f>
        <v>test</v>
      </c>
      <c r="E7" s="8">
        <f>SUMPRODUCT(Puanlar!$C$3:$AB$3,Puanlar!C7:AB7)/5</f>
        <v>39.4</v>
      </c>
      <c r="F7" s="8">
        <f>SUMIF(Puanlar!C7:AB7,"&gt;=0",Puanlar!$C$3:$AB$3)</f>
        <v>100</v>
      </c>
      <c r="G7" s="8">
        <f>SUMPRODUCT(Puanlar!$C$3:$AB$3,Puanlar!C7:AB7,Guven!C7:AB7)/5</f>
        <v>11.82</v>
      </c>
      <c r="H7" s="9">
        <f>SUMPRODUCT(Puanlar!$C$3:$AB$3,Kanit!C7:AB7)/SUM(Puanlar!$C$3:$AB$3)</f>
        <v>0</v>
      </c>
      <c r="I7" s="8">
        <f>SUMPRODUCT(Puanlar!$AD$3:$AG$3,Puanlar!AD7:AG7)/5</f>
        <v>30</v>
      </c>
      <c r="J7" s="10">
        <f>Finans!AB7</f>
        <v>-500</v>
      </c>
      <c r="K7" s="5">
        <f>Kanit!H7</f>
        <v>0</v>
      </c>
      <c r="L7" s="5">
        <f>IF(E7&gt;=Hedef!$C$10,1,0)</f>
        <v>0</v>
      </c>
      <c r="M7" s="5">
        <f>IF(AND(J7&gt;=Hedef!$C$5*Hedef!$C$11,Finans!AE7&lt;=Hedef!$C$14),1,0)</f>
        <v>0</v>
      </c>
      <c r="N7" s="7" t="str">
        <f>IF(D7="kaldi","Kapıda kaldı",IF(AND(D7="gecti",L7=1,K7&gt;=Hedef!$C$13,J7&gt;=Hedef!$C$5),"Yatırım yap",IF(AND(L7=1,M7=1),"Önce test et",IF(OR(L7=1,M7=1),"Değiştir",IF(I7&gt;=Hedef!$C$12,"Beklet","Bırak")))))</f>
        <v>Bırak</v>
      </c>
      <c r="O7" s="5">
        <f>IF(N7="Yatırım yap",0,IF(N7="Önce test et",1,IF(N7="Değiştir",2,IF(N7="Beklet",3,IF(N7="Bırak",4,9)))))</f>
        <v>4</v>
      </c>
      <c r="P7" s="22">
        <f>IF(D7="kaldi","",O7*1000-G7+7/1000000000)</f>
        <v>3988.180000007</v>
      </c>
      <c r="Q7" s="5">
        <f>IF(D7="kaldi","",1+COUNTIF($P$5:$P$136,"&lt;"&amp;P7))</f>
        <v>110</v>
      </c>
      <c r="R7" s="23">
        <f>IF(D7="kaldi","",E7*(1-IF(E7&gt;0,G7/E7,0))/MAX(1,Deneyler!F7))</f>
        <v>1.1032</v>
      </c>
      <c r="S7" s="22">
        <f>IF(D7="kaldi","",-R7+7/1000000000)</f>
        <v>-1.103199993</v>
      </c>
      <c r="T7" s="5">
        <f>IF(D7="kaldi","",1+COUNTIF($S$5:$S$136,"&lt;"&amp;S7))</f>
        <v>62</v>
      </c>
    </row>
    <row r="8">
      <c r="A8" s="7" t="str">
        <f>Secenekler!A8</f>
        <v>parselq-a</v>
      </c>
      <c r="B8" s="7" t="str">
        <f>Secenekler!C8</f>
        <v>ParselQ Rapor: tek parsel bilgi notu (bireysel alıcı)</v>
      </c>
      <c r="C8" s="7" t="str">
        <f>Secenekler!B8</f>
        <v>arsam.net / ParselQ (arsa raporu, emlakçı aracı, pazar yeri)</v>
      </c>
      <c r="D8" s="7" t="str">
        <f>Kapilar!K8</f>
        <v>test</v>
      </c>
      <c r="E8" s="8">
        <f>SUMPRODUCT(Puanlar!$C$3:$AB$3,Puanlar!C8:AB8)/5</f>
        <v>53.2</v>
      </c>
      <c r="F8" s="8">
        <f>SUMIF(Puanlar!C8:AB8,"&gt;=0",Puanlar!$C$3:$AB$3)</f>
        <v>100</v>
      </c>
      <c r="G8" s="8">
        <f>SUMPRODUCT(Puanlar!$C$3:$AB$3,Puanlar!C8:AB8,Guven!C8:AB8)/5</f>
        <v>19.24</v>
      </c>
      <c r="H8" s="9">
        <f>SUMPRODUCT(Puanlar!$C$3:$AB$3,Kanit!C8:AB8)/SUM(Puanlar!$C$3:$AB$3)</f>
        <v>0.3</v>
      </c>
      <c r="I8" s="8">
        <f>SUMPRODUCT(Puanlar!$AD$3:$AG$3,Puanlar!AD8:AG8)/5</f>
        <v>55</v>
      </c>
      <c r="J8" s="10">
        <f>Finans!AB8</f>
        <v>-43930</v>
      </c>
      <c r="K8" s="5">
        <f>Kanit!H8</f>
        <v>1</v>
      </c>
      <c r="L8" s="5">
        <f>IF(E8&gt;=Hedef!$C$10,1,0)</f>
        <v>1</v>
      </c>
      <c r="M8" s="5">
        <f>IF(AND(J8&gt;=Hedef!$C$5*Hedef!$C$11,Finans!AE8&lt;=Hedef!$C$14),1,0)</f>
        <v>0</v>
      </c>
      <c r="N8" s="7" t="str">
        <f>IF(D8="kaldi","Kapıda kaldı",IF(AND(D8="gecti",L8=1,K8&gt;=Hedef!$C$13,J8&gt;=Hedef!$C$5),"Yatırım yap",IF(AND(L8=1,M8=1),"Önce test et",IF(OR(L8=1,M8=1),"Değiştir",IF(I8&gt;=Hedef!$C$12,"Beklet","Bırak")))))</f>
        <v>Değiştir</v>
      </c>
      <c r="O8" s="5">
        <f>IF(N8="Yatırım yap",0,IF(N8="Önce test et",1,IF(N8="Değiştir",2,IF(N8="Beklet",3,IF(N8="Bırak",4,9)))))</f>
        <v>2</v>
      </c>
      <c r="P8" s="22">
        <f>IF(D8="kaldi","",O8*1000-G8+8/1000000000)</f>
        <v>1980.760000008</v>
      </c>
      <c r="Q8" s="5">
        <f>IF(D8="kaldi","",1+COUNTIF($P$5:$P$136,"&lt;"&amp;P8))</f>
        <v>40</v>
      </c>
      <c r="R8" s="23">
        <f>IF(D8="kaldi","",E8*(1-IF(E8&gt;0,G8/E8,0))/MAX(1,Deneyler!F8))</f>
        <v>0.849</v>
      </c>
      <c r="S8" s="22">
        <f>IF(D8="kaldi","",-R8+8/1000000000)</f>
        <v>-0.848999992</v>
      </c>
      <c r="T8" s="5">
        <f>IF(D8="kaldi","",1+COUNTIF($S$5:$S$136,"&lt;"&amp;S8))</f>
        <v>79</v>
      </c>
    </row>
    <row r="9">
      <c r="A9" s="7" t="str">
        <f>Secenekler!A9</f>
        <v>parselq-b</v>
      </c>
      <c r="B9" s="7" t="str">
        <f>Secenekler!C9</f>
        <v>Parsel Kartı: emlakçıya arsa ilanı için güven kartı aboneliği</v>
      </c>
      <c r="C9" s="7" t="str">
        <f>Secenekler!B9</f>
        <v>arsam.net / ParselQ (arsa raporu, emlakçı aracı, pazar yeri)</v>
      </c>
      <c r="D9" s="7" t="str">
        <f>Kapilar!K9</f>
        <v>test</v>
      </c>
      <c r="E9" s="8">
        <f>SUMPRODUCT(Puanlar!$C$3:$AB$3,Puanlar!C9:AB9)/5</f>
        <v>51.4</v>
      </c>
      <c r="F9" s="8">
        <f>SUMIF(Puanlar!C9:AB9,"&gt;=0",Puanlar!$C$3:$AB$3)</f>
        <v>100</v>
      </c>
      <c r="G9" s="8">
        <f>SUMPRODUCT(Puanlar!$C$3:$AB$3,Puanlar!C9:AB9,Guven!C9:AB9)/5</f>
        <v>17.58</v>
      </c>
      <c r="H9" s="9">
        <f>SUMPRODUCT(Puanlar!$C$3:$AB$3,Kanit!C9:AB9)/SUM(Puanlar!$C$3:$AB$3)</f>
        <v>0.26</v>
      </c>
      <c r="I9" s="8">
        <f>SUMPRODUCT(Puanlar!$AD$3:$AG$3,Puanlar!AD9:AG9)/5</f>
        <v>55</v>
      </c>
      <c r="J9" s="10">
        <f>Finans!AB9</f>
        <v>-35334</v>
      </c>
      <c r="K9" s="5">
        <f>Kanit!H9</f>
        <v>1</v>
      </c>
      <c r="L9" s="5">
        <f>IF(E9&gt;=Hedef!$C$10,1,0)</f>
        <v>1</v>
      </c>
      <c r="M9" s="5">
        <f>IF(AND(J9&gt;=Hedef!$C$5*Hedef!$C$11,Finans!AE9&lt;=Hedef!$C$14),1,0)</f>
        <v>0</v>
      </c>
      <c r="N9" s="7" t="str">
        <f>IF(D9="kaldi","Kapıda kaldı",IF(AND(D9="gecti",L9=1,K9&gt;=Hedef!$C$13,J9&gt;=Hedef!$C$5),"Yatırım yap",IF(AND(L9=1,M9=1),"Önce test et",IF(OR(L9=1,M9=1),"Değiştir",IF(I9&gt;=Hedef!$C$12,"Beklet","Bırak")))))</f>
        <v>Değiştir</v>
      </c>
      <c r="O9" s="5">
        <f>IF(N9="Yatırım yap",0,IF(N9="Önce test et",1,IF(N9="Değiştir",2,IF(N9="Beklet",3,IF(N9="Bırak",4,9)))))</f>
        <v>2</v>
      </c>
      <c r="P9" s="22">
        <f>IF(D9="kaldi","",O9*1000-G9+9/1000000000)</f>
        <v>1982.420000009</v>
      </c>
      <c r="Q9" s="5">
        <f>IF(D9="kaldi","",1+COUNTIF($P$5:$P$136,"&lt;"&amp;P9))</f>
        <v>58</v>
      </c>
      <c r="R9" s="23">
        <f>IF(D9="kaldi","",E9*(1-IF(E9&gt;0,G9/E9,0))/MAX(1,Deneyler!F9))</f>
        <v>0.9662857142857141</v>
      </c>
      <c r="S9" s="22">
        <f>IF(D9="kaldi","",-R9+9/1000000000)</f>
        <v>-0.9662857052857141</v>
      </c>
      <c r="T9" s="5">
        <f>IF(D9="kaldi","",1+COUNTIF($S$5:$S$136,"&lt;"&amp;S9))</f>
        <v>68</v>
      </c>
    </row>
    <row r="10">
      <c r="A10" s="7" t="str">
        <f>Secenekler!A10</f>
        <v>parselq-c</v>
      </c>
      <c r="B10" s="7" t="str">
        <f>Secenekler!C10</f>
        <v>Uzmanlı karar dosyası: kaynak izli arsa raporu (danışmanlık ofisi)</v>
      </c>
      <c r="C10" s="7" t="str">
        <f>Secenekler!B10</f>
        <v>arsam.net / ParselQ (arsa raporu, emlakçı aracı, pazar yeri)</v>
      </c>
      <c r="D10" s="7" t="str">
        <f>Kapilar!K10</f>
        <v>test</v>
      </c>
      <c r="E10" s="8">
        <f>SUMPRODUCT(Puanlar!$C$3:$AB$3,Puanlar!C10:AB10)/5</f>
        <v>42.6</v>
      </c>
      <c r="F10" s="8">
        <f>SUMIF(Puanlar!C10:AB10,"&gt;=0",Puanlar!$C$3:$AB$3)</f>
        <v>100</v>
      </c>
      <c r="G10" s="8">
        <f>SUMPRODUCT(Puanlar!$C$3:$AB$3,Puanlar!C10:AB10,Guven!C10:AB10)/5</f>
        <v>13.26</v>
      </c>
      <c r="H10" s="9">
        <f>SUMPRODUCT(Puanlar!$C$3:$AB$3,Kanit!C10:AB10)/SUM(Puanlar!$C$3:$AB$3)</f>
        <v>0.04</v>
      </c>
      <c r="I10" s="8">
        <f>SUMPRODUCT(Puanlar!$AD$3:$AG$3,Puanlar!AD10:AG10)/5</f>
        <v>45</v>
      </c>
      <c r="J10" s="10">
        <f>Finans!AB10</f>
        <v>-8040</v>
      </c>
      <c r="K10" s="5">
        <f>Kanit!H10</f>
        <v>0</v>
      </c>
      <c r="L10" s="5">
        <f>IF(E10&gt;=Hedef!$C$10,1,0)</f>
        <v>0</v>
      </c>
      <c r="M10" s="5">
        <f>IF(AND(J10&gt;=Hedef!$C$5*Hedef!$C$11,Finans!AE10&lt;=Hedef!$C$14),1,0)</f>
        <v>0</v>
      </c>
      <c r="N10" s="7" t="str">
        <f>IF(D10="kaldi","Kapıda kaldı",IF(AND(D10="gecti",L10=1,K10&gt;=Hedef!$C$13,J10&gt;=Hedef!$C$5),"Yatırım yap",IF(AND(L10=1,M10=1),"Önce test et",IF(OR(L10=1,M10=1),"Değiştir",IF(I10&gt;=Hedef!$C$12,"Beklet","Bırak")))))</f>
        <v>Bırak</v>
      </c>
      <c r="O10" s="5">
        <f>IF(N10="Yatırım yap",0,IF(N10="Önce test et",1,IF(N10="Değiştir",2,IF(N10="Beklet",3,IF(N10="Bırak",4,9)))))</f>
        <v>4</v>
      </c>
      <c r="P10" s="22">
        <f>IF(D10="kaldi","",O10*1000-G10+10/1000000000)</f>
        <v>3986.74000001</v>
      </c>
      <c r="Q10" s="5">
        <f>IF(D10="kaldi","",1+COUNTIF($P$5:$P$136,"&lt;"&amp;P10))</f>
        <v>104</v>
      </c>
      <c r="R10" s="23">
        <f>IF(D10="kaldi","",E10*(1-IF(E10&gt;0,G10/E10,0))/MAX(1,Deneyler!F10))</f>
        <v>0.7335</v>
      </c>
      <c r="S10" s="22">
        <f>IF(D10="kaldi","",-R10+10/1000000000)</f>
        <v>-0.73349999</v>
      </c>
      <c r="T10" s="5">
        <f>IF(D10="kaldi","",1+COUNTIF($S$5:$S$136,"&lt;"&amp;S10))</f>
        <v>93</v>
      </c>
    </row>
    <row r="11">
      <c r="A11" s="7" t="str">
        <f>Secenekler!A11</f>
        <v>destektesvik-a</v>
      </c>
      <c r="B11" s="7" t="str">
        <f>Secenekler!C11</f>
        <v>Uzman onaylı ön değerlendirme raporu (KOBİ)</v>
      </c>
      <c r="C11" s="7" t="str">
        <f>Secenekler!B11</f>
        <v>DestekTeşvik (destek ve teşvik uygunluk platformu)</v>
      </c>
      <c r="D11" s="7" t="str">
        <f>Kapilar!K11</f>
        <v>test</v>
      </c>
      <c r="E11" s="8">
        <f>SUMPRODUCT(Puanlar!$C$3:$AB$3,Puanlar!C11:AB11)/5</f>
        <v>56.4</v>
      </c>
      <c r="F11" s="8">
        <f>SUMIF(Puanlar!C11:AB11,"&gt;=0",Puanlar!$C$3:$AB$3)</f>
        <v>100</v>
      </c>
      <c r="G11" s="8">
        <f>SUMPRODUCT(Puanlar!$C$3:$AB$3,Puanlar!C11:AB11,Guven!C11:AB11)/5</f>
        <v>22.2</v>
      </c>
      <c r="H11" s="9">
        <f>SUMPRODUCT(Puanlar!$C$3:$AB$3,Kanit!C11:AB11)/SUM(Puanlar!$C$3:$AB$3)</f>
        <v>0.46</v>
      </c>
      <c r="I11" s="8">
        <f>SUMPRODUCT(Puanlar!$AD$3:$AG$3,Puanlar!AD11:AG11)/5</f>
        <v>55</v>
      </c>
      <c r="J11" s="10">
        <f>Finans!AB11</f>
        <v>-73500</v>
      </c>
      <c r="K11" s="5">
        <f>Kanit!H11</f>
        <v>1</v>
      </c>
      <c r="L11" s="5">
        <f>IF(E11&gt;=Hedef!$C$10,1,0)</f>
        <v>1</v>
      </c>
      <c r="M11" s="5">
        <f>IF(AND(J11&gt;=Hedef!$C$5*Hedef!$C$11,Finans!AE11&lt;=Hedef!$C$14),1,0)</f>
        <v>0</v>
      </c>
      <c r="N11" s="7" t="str">
        <f>IF(D11="kaldi","Kapıda kaldı",IF(AND(D11="gecti",L11=1,K11&gt;=Hedef!$C$13,J11&gt;=Hedef!$C$5),"Yatırım yap",IF(AND(L11=1,M11=1),"Önce test et",IF(OR(L11=1,M11=1),"Değiştir",IF(I11&gt;=Hedef!$C$12,"Beklet","Bırak")))))</f>
        <v>Değiştir</v>
      </c>
      <c r="O11" s="5">
        <f>IF(N11="Yatırım yap",0,IF(N11="Önce test et",1,IF(N11="Değiştir",2,IF(N11="Beklet",3,IF(N11="Bırak",4,9)))))</f>
        <v>2</v>
      </c>
      <c r="P11" s="22">
        <f>IF(D11="kaldi","",O11*1000-G11+11/1000000000)</f>
        <v>1977.800000011</v>
      </c>
      <c r="Q11" s="5">
        <f>IF(D11="kaldi","",1+COUNTIF($P$5:$P$136,"&lt;"&amp;P11))</f>
        <v>11</v>
      </c>
      <c r="R11" s="23">
        <f>IF(D11="kaldi","",E11*(1-IF(E11&gt;0,G11/E11,0))/MAX(1,Deneyler!F11))</f>
        <v>0.8550000000000001</v>
      </c>
      <c r="S11" s="22">
        <f>IF(D11="kaldi","",-R11+11/1000000000)</f>
        <v>-0.8549999890000001</v>
      </c>
      <c r="T11" s="5">
        <f>IF(D11="kaldi","",1+COUNTIF($S$5:$S$136,"&lt;"&amp;S11))</f>
        <v>78</v>
      </c>
    </row>
    <row r="12">
      <c r="A12" s="7" t="str">
        <f>Secenekler!A12</f>
        <v>destektesvik-b</v>
      </c>
      <c r="B12" s="7" t="str">
        <f>Secenekler!C12</f>
        <v>Mali müşavir ve danışman portföy tarama paketi</v>
      </c>
      <c r="C12" s="7" t="str">
        <f>Secenekler!B12</f>
        <v>DestekTeşvik (destek ve teşvik uygunluk platformu)</v>
      </c>
      <c r="D12" s="7" t="str">
        <f>Kapilar!K12</f>
        <v>kaldi</v>
      </c>
      <c r="E12" s="8">
        <f>SUMPRODUCT(Puanlar!$C$3:$AB$3,Puanlar!C12:AB12)/5</f>
        <v>48.8</v>
      </c>
      <c r="F12" s="8">
        <f>SUMIF(Puanlar!C12:AB12,"&gt;=0",Puanlar!$C$3:$AB$3)</f>
        <v>100</v>
      </c>
      <c r="G12" s="8">
        <f>SUMPRODUCT(Puanlar!$C$3:$AB$3,Puanlar!C12:AB12,Guven!C12:AB12)/5</f>
        <v>17.72</v>
      </c>
      <c r="H12" s="9">
        <f>SUMPRODUCT(Puanlar!$C$3:$AB$3,Kanit!C12:AB12)/SUM(Puanlar!$C$3:$AB$3)</f>
        <v>0.3</v>
      </c>
      <c r="I12" s="8">
        <f>SUMPRODUCT(Puanlar!$AD$3:$AG$3,Puanlar!AD12:AG12)/5</f>
        <v>65</v>
      </c>
      <c r="J12" s="10">
        <f>Finans!AB12</f>
        <v>-91000</v>
      </c>
      <c r="K12" s="5">
        <f>Kanit!H12</f>
        <v>1</v>
      </c>
      <c r="L12" s="5">
        <f>IF(E12&gt;=Hedef!$C$10,1,0)</f>
        <v>1</v>
      </c>
      <c r="M12" s="5">
        <f>IF(AND(J12&gt;=Hedef!$C$5*Hedef!$C$11,Finans!AE12&lt;=Hedef!$C$14),1,0)</f>
        <v>0</v>
      </c>
      <c r="N12" s="7" t="str">
        <f>IF(D12="kaldi","Kapıda kaldı",IF(AND(D12="gecti",L12=1,K12&gt;=Hedef!$C$13,J12&gt;=Hedef!$C$5),"Yatırım yap",IF(AND(L12=1,M12=1),"Önce test et",IF(OR(L12=1,M12=1),"Değiştir",IF(I12&gt;=Hedef!$C$12,"Beklet","Bırak")))))</f>
        <v>Kapıda kaldı</v>
      </c>
      <c r="O12" s="5">
        <f>IF(N12="Yatırım yap",0,IF(N12="Önce test et",1,IF(N12="Değiştir",2,IF(N12="Beklet",3,IF(N12="Bırak",4,9)))))</f>
        <v>9</v>
      </c>
      <c r="P12" s="22" t="str">
        <f>IF(D12="kaldi","",O12*1000-G12+12/1000000000)</f>
        <v/>
      </c>
      <c r="Q12" s="5" t="str">
        <f>IF(D12="kaldi","",1+COUNTIF($P$5:$P$136,"&lt;"&amp;P12))</f>
        <v/>
      </c>
      <c r="R12" s="23" t="str">
        <f>IF(D12="kaldi","",E12*(1-IF(E12&gt;0,G12/E12,0))/MAX(1,Deneyler!F12))</f>
        <v/>
      </c>
      <c r="S12" s="22" t="str">
        <f>IF(D12="kaldi","",-R12+12/1000000000)</f>
        <v/>
      </c>
      <c r="T12" s="5" t="str">
        <f>IF(D12="kaldi","",1+COUNTIF($S$5:$S$136,"&lt;"&amp;S12))</f>
        <v/>
      </c>
    </row>
    <row r="13">
      <c r="A13" s="7" t="str">
        <f>Secenekler!A13</f>
        <v>destektesvik-c</v>
      </c>
      <c r="B13" s="7" t="str">
        <f>Secenekler!C13</f>
        <v>Oda ve OSB üye taraması sponsorluk paketi</v>
      </c>
      <c r="C13" s="7" t="str">
        <f>Secenekler!B13</f>
        <v>DestekTeşvik (destek ve teşvik uygunluk platformu)</v>
      </c>
      <c r="D13" s="7" t="str">
        <f>Kapilar!K13</f>
        <v>kaldi</v>
      </c>
      <c r="E13" s="8">
        <f>SUMPRODUCT(Puanlar!$C$3:$AB$3,Puanlar!C13:AB13)/5</f>
        <v>38</v>
      </c>
      <c r="F13" s="8">
        <f>SUMIF(Puanlar!C13:AB13,"&gt;=0",Puanlar!$C$3:$AB$3)</f>
        <v>100</v>
      </c>
      <c r="G13" s="8">
        <f>SUMPRODUCT(Puanlar!$C$3:$AB$3,Puanlar!C13:AB13,Guven!C13:AB13)/5</f>
        <v>12.8</v>
      </c>
      <c r="H13" s="9">
        <f>SUMPRODUCT(Puanlar!$C$3:$AB$3,Kanit!C13:AB13)/SUM(Puanlar!$C$3:$AB$3)</f>
        <v>0.1</v>
      </c>
      <c r="I13" s="8">
        <f>SUMPRODUCT(Puanlar!$AD$3:$AG$3,Puanlar!AD13:AG13)/5</f>
        <v>50</v>
      </c>
      <c r="J13" s="10">
        <f>Finans!AB13</f>
        <v>-71000</v>
      </c>
      <c r="K13" s="5">
        <f>Kanit!H13</f>
        <v>0</v>
      </c>
      <c r="L13" s="5">
        <f>IF(E13&gt;=Hedef!$C$10,1,0)</f>
        <v>0</v>
      </c>
      <c r="M13" s="5">
        <f>IF(AND(J13&gt;=Hedef!$C$5*Hedef!$C$11,Finans!AE13&lt;=Hedef!$C$14),1,0)</f>
        <v>0</v>
      </c>
      <c r="N13" s="7" t="str">
        <f>IF(D13="kaldi","Kapıda kaldı",IF(AND(D13="gecti",L13=1,K13&gt;=Hedef!$C$13,J13&gt;=Hedef!$C$5),"Yatırım yap",IF(AND(L13=1,M13=1),"Önce test et",IF(OR(L13=1,M13=1),"Değiştir",IF(I13&gt;=Hedef!$C$12,"Beklet","Bırak")))))</f>
        <v>Kapıda kaldı</v>
      </c>
      <c r="O13" s="5">
        <f>IF(N13="Yatırım yap",0,IF(N13="Önce test et",1,IF(N13="Değiştir",2,IF(N13="Beklet",3,IF(N13="Bırak",4,9)))))</f>
        <v>9</v>
      </c>
      <c r="P13" s="22" t="str">
        <f>IF(D13="kaldi","",O13*1000-G13+13/1000000000)</f>
        <v/>
      </c>
      <c r="Q13" s="5" t="str">
        <f>IF(D13="kaldi","",1+COUNTIF($P$5:$P$136,"&lt;"&amp;P13))</f>
        <v/>
      </c>
      <c r="R13" s="23" t="str">
        <f>IF(D13="kaldi","",E13*(1-IF(E13&gt;0,G13/E13,0))/MAX(1,Deneyler!F13))</f>
        <v/>
      </c>
      <c r="S13" s="22" t="str">
        <f>IF(D13="kaldi","",-R13+13/1000000000)</f>
        <v/>
      </c>
      <c r="T13" s="5" t="str">
        <f>IF(D13="kaldi","",1+COUNTIF($S$5:$S$136,"&lt;"&amp;S13))</f>
        <v/>
      </c>
    </row>
    <row r="14">
      <c r="A14" s="7" t="str">
        <f>Secenekler!A14</f>
        <v>asgari-iscilik-a</v>
      </c>
      <c r="B14" s="7" t="str">
        <f>Secenekler!C14</f>
        <v>Bir inşaat firmasına sabit fiyatlı uyum yazılımı projesi</v>
      </c>
      <c r="C14" s="7" t="str">
        <f>Secenekler!B14</f>
        <v>Asgari işçilik ve hakediş uyum platformu</v>
      </c>
      <c r="D14" s="7" t="str">
        <f>Kapilar!K14</f>
        <v>kaldi</v>
      </c>
      <c r="E14" s="8">
        <f>SUMPRODUCT(Puanlar!$C$3:$AB$3,Puanlar!C14:AB14)/5</f>
        <v>50.6</v>
      </c>
      <c r="F14" s="8">
        <f>SUMIF(Puanlar!C14:AB14,"&gt;=0",Puanlar!$C$3:$AB$3)</f>
        <v>100</v>
      </c>
      <c r="G14" s="8">
        <f>SUMPRODUCT(Puanlar!$C$3:$AB$3,Puanlar!C14:AB14,Guven!C14:AB14)/5</f>
        <v>23.42</v>
      </c>
      <c r="H14" s="9">
        <f>SUMPRODUCT(Puanlar!$C$3:$AB$3,Kanit!C14:AB14)/SUM(Puanlar!$C$3:$AB$3)</f>
        <v>0.73</v>
      </c>
      <c r="I14" s="8">
        <f>SUMPRODUCT(Puanlar!$AD$3:$AG$3,Puanlar!AD14:AG14)/5</f>
        <v>50</v>
      </c>
      <c r="J14" s="10">
        <f>Finans!AB14</f>
        <v>16000</v>
      </c>
      <c r="K14" s="5">
        <f>Kanit!H14</f>
        <v>1</v>
      </c>
      <c r="L14" s="5">
        <f>IF(E14&gt;=Hedef!$C$10,1,0)</f>
        <v>1</v>
      </c>
      <c r="M14" s="5">
        <f>IF(AND(J14&gt;=Hedef!$C$5*Hedef!$C$11,Finans!AE14&lt;=Hedef!$C$14),1,0)</f>
        <v>0</v>
      </c>
      <c r="N14" s="7" t="str">
        <f>IF(D14="kaldi","Kapıda kaldı",IF(AND(D14="gecti",L14=1,K14&gt;=Hedef!$C$13,J14&gt;=Hedef!$C$5),"Yatırım yap",IF(AND(L14=1,M14=1),"Önce test et",IF(OR(L14=1,M14=1),"Değiştir",IF(I14&gt;=Hedef!$C$12,"Beklet","Bırak")))))</f>
        <v>Kapıda kaldı</v>
      </c>
      <c r="O14" s="5">
        <f>IF(N14="Yatırım yap",0,IF(N14="Önce test et",1,IF(N14="Değiştir",2,IF(N14="Beklet",3,IF(N14="Bırak",4,9)))))</f>
        <v>9</v>
      </c>
      <c r="P14" s="22" t="str">
        <f>IF(D14="kaldi","",O14*1000-G14+14/1000000000)</f>
        <v/>
      </c>
      <c r="Q14" s="5" t="str">
        <f>IF(D14="kaldi","",1+COUNTIF($P$5:$P$136,"&lt;"&amp;P14))</f>
        <v/>
      </c>
      <c r="R14" s="23" t="str">
        <f>IF(D14="kaldi","",E14*(1-IF(E14&gt;0,G14/E14,0))/MAX(1,Deneyler!F14))</f>
        <v/>
      </c>
      <c r="S14" s="22" t="str">
        <f>IF(D14="kaldi","",-R14+14/1000000000)</f>
        <v/>
      </c>
      <c r="T14" s="5" t="str">
        <f>IF(D14="kaldi","",1+COUNTIF($S$5:$S$136,"&lt;"&amp;S14))</f>
        <v/>
      </c>
    </row>
    <row r="15">
      <c r="A15" s="7" t="str">
        <f>Secenekler!A15</f>
        <v>asgari-iscilik-b</v>
      </c>
      <c r="B15" s="7" t="str">
        <f>Secenekler!C15</f>
        <v>Mali müşavir ve yükleniciye aylık abonelik (çok kiracılı platform)</v>
      </c>
      <c r="C15" s="7" t="str">
        <f>Secenekler!B15</f>
        <v>Asgari işçilik ve hakediş uyum platformu</v>
      </c>
      <c r="D15" s="7" t="str">
        <f>Kapilar!K15</f>
        <v>kaldi</v>
      </c>
      <c r="E15" s="8">
        <f>SUMPRODUCT(Puanlar!$C$3:$AB$3,Puanlar!C15:AB15)/5</f>
        <v>53</v>
      </c>
      <c r="F15" s="8">
        <f>SUMIF(Puanlar!C15:AB15,"&gt;=0",Puanlar!$C$3:$AB$3)</f>
        <v>100</v>
      </c>
      <c r="G15" s="8">
        <f>SUMPRODUCT(Puanlar!$C$3:$AB$3,Puanlar!C15:AB15,Guven!C15:AB15)/5</f>
        <v>20.22</v>
      </c>
      <c r="H15" s="9">
        <f>SUMPRODUCT(Puanlar!$C$3:$AB$3,Kanit!C15:AB15)/SUM(Puanlar!$C$3:$AB$3)</f>
        <v>0.41</v>
      </c>
      <c r="I15" s="8">
        <f>SUMPRODUCT(Puanlar!$AD$3:$AG$3,Puanlar!AD15:AG15)/5</f>
        <v>65</v>
      </c>
      <c r="J15" s="10">
        <f>Finans!AB15</f>
        <v>-136000</v>
      </c>
      <c r="K15" s="5">
        <f>Kanit!H15</f>
        <v>1</v>
      </c>
      <c r="L15" s="5">
        <f>IF(E15&gt;=Hedef!$C$10,1,0)</f>
        <v>1</v>
      </c>
      <c r="M15" s="5">
        <f>IF(AND(J15&gt;=Hedef!$C$5*Hedef!$C$11,Finans!AE15&lt;=Hedef!$C$14),1,0)</f>
        <v>0</v>
      </c>
      <c r="N15" s="7" t="str">
        <f>IF(D15="kaldi","Kapıda kaldı",IF(AND(D15="gecti",L15=1,K15&gt;=Hedef!$C$13,J15&gt;=Hedef!$C$5),"Yatırım yap",IF(AND(L15=1,M15=1),"Önce test et",IF(OR(L15=1,M15=1),"Değiştir",IF(I15&gt;=Hedef!$C$12,"Beklet","Bırak")))))</f>
        <v>Kapıda kaldı</v>
      </c>
      <c r="O15" s="5">
        <f>IF(N15="Yatırım yap",0,IF(N15="Önce test et",1,IF(N15="Değiştir",2,IF(N15="Beklet",3,IF(N15="Bırak",4,9)))))</f>
        <v>9</v>
      </c>
      <c r="P15" s="22" t="str">
        <f>IF(D15="kaldi","",O15*1000-G15+15/1000000000)</f>
        <v/>
      </c>
      <c r="Q15" s="5" t="str">
        <f>IF(D15="kaldi","",1+COUNTIF($P$5:$P$136,"&lt;"&amp;P15))</f>
        <v/>
      </c>
      <c r="R15" s="23" t="str">
        <f>IF(D15="kaldi","",E15*(1-IF(E15&gt;0,G15/E15,0))/MAX(1,Deneyler!F15))</f>
        <v/>
      </c>
      <c r="S15" s="22" t="str">
        <f>IF(D15="kaldi","",-R15+15/1000000000)</f>
        <v/>
      </c>
      <c r="T15" s="5" t="str">
        <f>IF(D15="kaldi","",1+COUNTIF($S$5:$S$136,"&lt;"&amp;S15))</f>
        <v/>
      </c>
    </row>
    <row r="16">
      <c r="A16" s="7" t="str">
        <f>Secenekler!A16</f>
        <v>asgari-iscilik-c</v>
      </c>
      <c r="B16" s="7" t="str">
        <f>Secenekler!C16</f>
        <v>Asgari işçilik hesap ve dosya kontrol raporu (uzman teyitli)</v>
      </c>
      <c r="C16" s="7" t="str">
        <f>Secenekler!B16</f>
        <v>Asgari işçilik ve hakediş uyum platformu</v>
      </c>
      <c r="D16" s="7" t="str">
        <f>Kapilar!K16</f>
        <v>test</v>
      </c>
      <c r="E16" s="8">
        <f>SUMPRODUCT(Puanlar!$C$3:$AB$3,Puanlar!C16:AB16)/5</f>
        <v>58.6</v>
      </c>
      <c r="F16" s="8">
        <f>SUMIF(Puanlar!C16:AB16,"&gt;=0",Puanlar!$C$3:$AB$3)</f>
        <v>100</v>
      </c>
      <c r="G16" s="8">
        <f>SUMPRODUCT(Puanlar!$C$3:$AB$3,Puanlar!C16:AB16,Guven!C16:AB16)/5</f>
        <v>22.3</v>
      </c>
      <c r="H16" s="9">
        <f>SUMPRODUCT(Puanlar!$C$3:$AB$3,Kanit!C16:AB16)/SUM(Puanlar!$C$3:$AB$3)</f>
        <v>0.35</v>
      </c>
      <c r="I16" s="8">
        <f>SUMPRODUCT(Puanlar!$AD$3:$AG$3,Puanlar!AD16:AG16)/5</f>
        <v>45</v>
      </c>
      <c r="J16" s="10">
        <f>Finans!AB16</f>
        <v>6700</v>
      </c>
      <c r="K16" s="5">
        <f>Kanit!H16</f>
        <v>0</v>
      </c>
      <c r="L16" s="5">
        <f>IF(E16&gt;=Hedef!$C$10,1,0)</f>
        <v>1</v>
      </c>
      <c r="M16" s="5">
        <f>IF(AND(J16&gt;=Hedef!$C$5*Hedef!$C$11,Finans!AE16&lt;=Hedef!$C$14),1,0)</f>
        <v>0</v>
      </c>
      <c r="N16" s="7" t="str">
        <f>IF(D16="kaldi","Kapıda kaldı",IF(AND(D16="gecti",L16=1,K16&gt;=Hedef!$C$13,J16&gt;=Hedef!$C$5),"Yatırım yap",IF(AND(L16=1,M16=1),"Önce test et",IF(OR(L16=1,M16=1),"Değiştir",IF(I16&gt;=Hedef!$C$12,"Beklet","Bırak")))))</f>
        <v>Değiştir</v>
      </c>
      <c r="O16" s="5">
        <f>IF(N16="Yatırım yap",0,IF(N16="Önce test et",1,IF(N16="Değiştir",2,IF(N16="Beklet",3,IF(N16="Bırak",4,9)))))</f>
        <v>2</v>
      </c>
      <c r="P16" s="22">
        <f>IF(D16="kaldi","",O16*1000-G16+16/1000000000)</f>
        <v>1977.700000016</v>
      </c>
      <c r="Q16" s="5">
        <f>IF(D16="kaldi","",1+COUNTIF($P$5:$P$136,"&lt;"&amp;P16))</f>
        <v>10</v>
      </c>
      <c r="R16" s="23">
        <f>IF(D16="kaldi","",E16*(1-IF(E16&gt;0,G16/E16,0))/MAX(1,Deneyler!F16))</f>
        <v>0.7260000000000001</v>
      </c>
      <c r="S16" s="22">
        <f>IF(D16="kaldi","",-R16+16/1000000000)</f>
        <v>-0.7259999840000001</v>
      </c>
      <c r="T16" s="5">
        <f>IF(D16="kaldi","",1+COUNTIF($S$5:$S$136,"&lt;"&amp;S16))</f>
        <v>95</v>
      </c>
    </row>
    <row r="17">
      <c r="A17" s="7" t="str">
        <f>Secenekler!A17</f>
        <v>zincir-danismanligi-a</v>
      </c>
      <c r="B17" s="7" t="str">
        <f>Secenekler!C17</f>
        <v>90 günlük dijital satış sistemi paketi (çok şubeli zincir)</v>
      </c>
      <c r="C17" s="7" t="str">
        <f>Secenekler!B17</f>
        <v>Kahve zinciri için dijital dönüşüm danışmanlığı</v>
      </c>
      <c r="D17" s="7" t="str">
        <f>Kapilar!K17</f>
        <v>test</v>
      </c>
      <c r="E17" s="8">
        <f>SUMPRODUCT(Puanlar!$C$3:$AB$3,Puanlar!C17:AB17)/5</f>
        <v>52.4</v>
      </c>
      <c r="F17" s="8">
        <f>SUMIF(Puanlar!C17:AB17,"&gt;=0",Puanlar!$C$3:$AB$3)</f>
        <v>100</v>
      </c>
      <c r="G17" s="8">
        <f>SUMPRODUCT(Puanlar!$C$3:$AB$3,Puanlar!C17:AB17,Guven!C17:AB17)/5</f>
        <v>23.96</v>
      </c>
      <c r="H17" s="9">
        <f>SUMPRODUCT(Puanlar!$C$3:$AB$3,Kanit!C17:AB17)/SUM(Puanlar!$C$3:$AB$3)</f>
        <v>0.68</v>
      </c>
      <c r="I17" s="8">
        <f>SUMPRODUCT(Puanlar!$AD$3:$AG$3,Puanlar!AD17:AG17)/5</f>
        <v>45</v>
      </c>
      <c r="J17" s="10">
        <f>Finans!AB17</f>
        <v>132000</v>
      </c>
      <c r="K17" s="5">
        <f>Kanit!H17</f>
        <v>1</v>
      </c>
      <c r="L17" s="5">
        <f>IF(E17&gt;=Hedef!$C$10,1,0)</f>
        <v>1</v>
      </c>
      <c r="M17" s="5">
        <f>IF(AND(J17&gt;=Hedef!$C$5*Hedef!$C$11,Finans!AE17&lt;=Hedef!$C$14),1,0)</f>
        <v>1</v>
      </c>
      <c r="N17" s="7" t="str">
        <f>IF(D17="kaldi","Kapıda kaldı",IF(AND(D17="gecti",L17=1,K17&gt;=Hedef!$C$13,J17&gt;=Hedef!$C$5),"Yatırım yap",IF(AND(L17=1,M17=1),"Önce test et",IF(OR(L17=1,M17=1),"Değiştir",IF(I17&gt;=Hedef!$C$12,"Beklet","Bırak")))))</f>
        <v>Önce test et</v>
      </c>
      <c r="O17" s="5">
        <f>IF(N17="Yatırım yap",0,IF(N17="Önce test et",1,IF(N17="Değiştir",2,IF(N17="Beklet",3,IF(N17="Bırak",4,9)))))</f>
        <v>1</v>
      </c>
      <c r="P17" s="22">
        <f>IF(D17="kaldi","",O17*1000-G17+17/1000000000)</f>
        <v>976.040000017</v>
      </c>
      <c r="Q17" s="5">
        <f>IF(D17="kaldi","",1+COUNTIF($P$5:$P$136,"&lt;"&amp;P17))</f>
        <v>1</v>
      </c>
      <c r="R17" s="23">
        <f>IF(D17="kaldi","",E17*(1-IF(E17&gt;0,G17/E17,0))/MAX(1,Deneyler!F17))</f>
        <v>2.37</v>
      </c>
      <c r="S17" s="22">
        <f>IF(D17="kaldi","",-R17+17/1000000000)</f>
        <v>-2.369999983</v>
      </c>
      <c r="T17" s="5">
        <f>IF(D17="kaldi","",1+COUNTIF($S$5:$S$136,"&lt;"&amp;S17))</f>
        <v>16</v>
      </c>
    </row>
    <row r="18">
      <c r="A18" s="7" t="str">
        <f>Secenekler!A18</f>
        <v>zincir-danismanligi-b</v>
      </c>
      <c r="B18" s="7" t="str">
        <f>Secenekler!C18</f>
        <v>Kahve zinciri dijital denetim raporu (2 hafta)</v>
      </c>
      <c r="C18" s="7" t="str">
        <f>Secenekler!B18</f>
        <v>Kahve zinciri için dijital dönüşüm danışmanlığı</v>
      </c>
      <c r="D18" s="7" t="str">
        <f>Kapilar!K18</f>
        <v>test</v>
      </c>
      <c r="E18" s="8">
        <f>SUMPRODUCT(Puanlar!$C$3:$AB$3,Puanlar!C18:AB18)/5</f>
        <v>50</v>
      </c>
      <c r="F18" s="8">
        <f>SUMIF(Puanlar!C18:AB18,"&gt;=0",Puanlar!$C$3:$AB$3)</f>
        <v>100</v>
      </c>
      <c r="G18" s="8">
        <f>SUMPRODUCT(Puanlar!$C$3:$AB$3,Puanlar!C18:AB18,Guven!C18:AB18)/5</f>
        <v>18.88</v>
      </c>
      <c r="H18" s="9">
        <f>SUMPRODUCT(Puanlar!$C$3:$AB$3,Kanit!C18:AB18)/SUM(Puanlar!$C$3:$AB$3)</f>
        <v>0.34</v>
      </c>
      <c r="I18" s="8">
        <f>SUMPRODUCT(Puanlar!$AD$3:$AG$3,Puanlar!AD18:AG18)/5</f>
        <v>40</v>
      </c>
      <c r="J18" s="10">
        <f>Finans!AB18</f>
        <v>2000</v>
      </c>
      <c r="K18" s="5">
        <f>Kanit!H18</f>
        <v>0</v>
      </c>
      <c r="L18" s="5">
        <f>IF(E18&gt;=Hedef!$C$10,1,0)</f>
        <v>1</v>
      </c>
      <c r="M18" s="5">
        <f>IF(AND(J18&gt;=Hedef!$C$5*Hedef!$C$11,Finans!AE18&lt;=Hedef!$C$14),1,0)</f>
        <v>0</v>
      </c>
      <c r="N18" s="7" t="str">
        <f>IF(D18="kaldi","Kapıda kaldı",IF(AND(D18="gecti",L18=1,K18&gt;=Hedef!$C$13,J18&gt;=Hedef!$C$5),"Yatırım yap",IF(AND(L18=1,M18=1),"Önce test et",IF(OR(L18=1,M18=1),"Değiştir",IF(I18&gt;=Hedef!$C$12,"Beklet","Bırak")))))</f>
        <v>Değiştir</v>
      </c>
      <c r="O18" s="5">
        <f>IF(N18="Yatırım yap",0,IF(N18="Önce test et",1,IF(N18="Değiştir",2,IF(N18="Beklet",3,IF(N18="Bırak",4,9)))))</f>
        <v>2</v>
      </c>
      <c r="P18" s="22">
        <f>IF(D18="kaldi","",O18*1000-G18+18/1000000000)</f>
        <v>1981.120000018</v>
      </c>
      <c r="Q18" s="5">
        <f>IF(D18="kaldi","",1+COUNTIF($P$5:$P$136,"&lt;"&amp;P18))</f>
        <v>45</v>
      </c>
      <c r="R18" s="23">
        <f>IF(D18="kaldi","",E18*(1-IF(E18&gt;0,G18/E18,0))/MAX(1,Deneyler!F18))</f>
        <v>1.556</v>
      </c>
      <c r="S18" s="22">
        <f>IF(D18="kaldi","",-R18+18/1000000000)</f>
        <v>-1.555999982</v>
      </c>
      <c r="T18" s="5">
        <f>IF(D18="kaldi","",1+COUNTIF($S$5:$S$136,"&lt;"&amp;S18))</f>
        <v>36</v>
      </c>
    </row>
    <row r="19">
      <c r="A19" s="7" t="str">
        <f>Secenekler!A19</f>
        <v>zincir-danismanligi-c</v>
      </c>
      <c r="B19" s="7" t="str">
        <f>Secenekler!C19</f>
        <v>Merkezden yönetilen şube QR menüsü (Zabuno zincir planı)</v>
      </c>
      <c r="C19" s="7" t="str">
        <f>Secenekler!B19</f>
        <v>Kahve zinciri için dijital dönüşüm danışmanlığı</v>
      </c>
      <c r="D19" s="7" t="str">
        <f>Kapilar!K19</f>
        <v>test</v>
      </c>
      <c r="E19" s="8">
        <f>SUMPRODUCT(Puanlar!$C$3:$AB$3,Puanlar!C19:AB19)/5</f>
        <v>46.2</v>
      </c>
      <c r="F19" s="8">
        <f>SUMIF(Puanlar!C19:AB19,"&gt;=0",Puanlar!$C$3:$AB$3)</f>
        <v>100</v>
      </c>
      <c r="G19" s="8">
        <f>SUMPRODUCT(Puanlar!$C$3:$AB$3,Puanlar!C19:AB19,Guven!C19:AB19)/5</f>
        <v>19.86</v>
      </c>
      <c r="H19" s="9">
        <f>SUMPRODUCT(Puanlar!$C$3:$AB$3,Kanit!C19:AB19)/SUM(Puanlar!$C$3:$AB$3)</f>
        <v>0.63</v>
      </c>
      <c r="I19" s="8">
        <f>SUMPRODUCT(Puanlar!$AD$3:$AG$3,Puanlar!AD19:AG19)/5</f>
        <v>55</v>
      </c>
      <c r="J19" s="10">
        <f>Finans!AB19</f>
        <v>2836</v>
      </c>
      <c r="K19" s="5">
        <f>Kanit!H19</f>
        <v>1</v>
      </c>
      <c r="L19" s="5">
        <f>IF(E19&gt;=Hedef!$C$10,1,0)</f>
        <v>1</v>
      </c>
      <c r="M19" s="5">
        <f>IF(AND(J19&gt;=Hedef!$C$5*Hedef!$C$11,Finans!AE19&lt;=Hedef!$C$14),1,0)</f>
        <v>0</v>
      </c>
      <c r="N19" s="7" t="str">
        <f>IF(D19="kaldi","Kapıda kaldı",IF(AND(D19="gecti",L19=1,K19&gt;=Hedef!$C$13,J19&gt;=Hedef!$C$5),"Yatırım yap",IF(AND(L19=1,M19=1),"Önce test et",IF(OR(L19=1,M19=1),"Değiştir",IF(I19&gt;=Hedef!$C$12,"Beklet","Bırak")))))</f>
        <v>Değiştir</v>
      </c>
      <c r="O19" s="5">
        <f>IF(N19="Yatırım yap",0,IF(N19="Önce test et",1,IF(N19="Değiştir",2,IF(N19="Beklet",3,IF(N19="Bırak",4,9)))))</f>
        <v>2</v>
      </c>
      <c r="P19" s="22">
        <f>IF(D19="kaldi","",O19*1000-G19+19/1000000000)</f>
        <v>1980.140000019</v>
      </c>
      <c r="Q19" s="5">
        <f>IF(D19="kaldi","",1+COUNTIF($P$5:$P$136,"&lt;"&amp;P19))</f>
        <v>28</v>
      </c>
      <c r="R19" s="23">
        <f>IF(D19="kaldi","",E19*(1-IF(E19&gt;0,G19/E19,0))/MAX(1,Deneyler!F19))</f>
        <v>2.195</v>
      </c>
      <c r="S19" s="22">
        <f>IF(D19="kaldi","",-R19+19/1000000000)</f>
        <v>-2.194999981</v>
      </c>
      <c r="T19" s="5">
        <f>IF(D19="kaldi","",1+COUNTIF($S$5:$S$136,"&lt;"&amp;S19))</f>
        <v>18</v>
      </c>
    </row>
    <row r="20">
      <c r="A20" s="7" t="str">
        <f>Secenekler!A20</f>
        <v>kar-pusulasi-a</v>
      </c>
      <c r="B20" s="7" t="str">
        <f>Secenekler!C20</f>
        <v>Pro yıllık ve Kurucu Paketi (satıcıya yazılım)</v>
      </c>
      <c r="C20" s="7" t="str">
        <f>Secenekler!B20</f>
        <v>Stratejik Kâr Pusulası (e-ticaret kârlılık aracı)</v>
      </c>
      <c r="D20" s="7" t="str">
        <f>Kapilar!K20</f>
        <v>test</v>
      </c>
      <c r="E20" s="8">
        <f>SUMPRODUCT(Puanlar!$C$3:$AB$3,Puanlar!C20:AB20)/5</f>
        <v>59.6</v>
      </c>
      <c r="F20" s="8">
        <f>SUMIF(Puanlar!C20:AB20,"&gt;=0",Puanlar!$C$3:$AB$3)</f>
        <v>100</v>
      </c>
      <c r="G20" s="8">
        <f>SUMPRODUCT(Puanlar!$C$3:$AB$3,Puanlar!C20:AB20,Guven!C20:AB20)/5</f>
        <v>25.2</v>
      </c>
      <c r="H20" s="9">
        <f>SUMPRODUCT(Puanlar!$C$3:$AB$3,Kanit!C20:AB20)/SUM(Puanlar!$C$3:$AB$3)</f>
        <v>0.66</v>
      </c>
      <c r="I20" s="8">
        <f>SUMPRODUCT(Puanlar!$AD$3:$AG$3,Puanlar!AD20:AG20)/5</f>
        <v>60</v>
      </c>
      <c r="J20" s="10">
        <f>Finans!AB20</f>
        <v>-9420</v>
      </c>
      <c r="K20" s="5">
        <f>Kanit!H20</f>
        <v>1</v>
      </c>
      <c r="L20" s="5">
        <f>IF(E20&gt;=Hedef!$C$10,1,0)</f>
        <v>1</v>
      </c>
      <c r="M20" s="5">
        <f>IF(AND(J20&gt;=Hedef!$C$5*Hedef!$C$11,Finans!AE20&lt;=Hedef!$C$14),1,0)</f>
        <v>0</v>
      </c>
      <c r="N20" s="7" t="str">
        <f>IF(D20="kaldi","Kapıda kaldı",IF(AND(D20="gecti",L20=1,K20&gt;=Hedef!$C$13,J20&gt;=Hedef!$C$5),"Yatırım yap",IF(AND(L20=1,M20=1),"Önce test et",IF(OR(L20=1,M20=1),"Değiştir",IF(I20&gt;=Hedef!$C$12,"Beklet","Bırak")))))</f>
        <v>Değiştir</v>
      </c>
      <c r="O20" s="5">
        <f>IF(N20="Yatırım yap",0,IF(N20="Önce test et",1,IF(N20="Değiştir",2,IF(N20="Beklet",3,IF(N20="Bırak",4,9)))))</f>
        <v>2</v>
      </c>
      <c r="P20" s="22">
        <f>IF(D20="kaldi","",O20*1000-G20+20/1000000000)</f>
        <v>1974.80000002</v>
      </c>
      <c r="Q20" s="5">
        <f>IF(D20="kaldi","",1+COUNTIF($P$5:$P$136,"&lt;"&amp;P20))</f>
        <v>4</v>
      </c>
      <c r="R20" s="23">
        <f>IF(D20="kaldi","",E20*(1-IF(E20&gt;0,G20/E20,0))/MAX(1,Deneyler!F20))</f>
        <v>1.146666666666667</v>
      </c>
      <c r="S20" s="22">
        <f>IF(D20="kaldi","",-R20+20/1000000000)</f>
        <v>-1.146666646666667</v>
      </c>
      <c r="T20" s="5">
        <f>IF(D20="kaldi","",1+COUNTIF($S$5:$S$136,"&lt;"&amp;S20))</f>
        <v>59</v>
      </c>
    </row>
    <row r="21">
      <c r="A21" s="7" t="str">
        <f>Secenekler!A21</f>
        <v>kar-pusulasi-b</v>
      </c>
      <c r="B21" s="7" t="str">
        <f>Secenekler!C21</f>
        <v>Danışman ve ajans paneli (aylık abonelik)</v>
      </c>
      <c r="C21" s="7" t="str">
        <f>Secenekler!B21</f>
        <v>Stratejik Kâr Pusulası (e-ticaret kârlılık aracı)</v>
      </c>
      <c r="D21" s="7" t="str">
        <f>Kapilar!K21</f>
        <v>kaldi</v>
      </c>
      <c r="E21" s="8">
        <f>SUMPRODUCT(Puanlar!$C$3:$AB$3,Puanlar!C21:AB21)/5</f>
        <v>45.6</v>
      </c>
      <c r="F21" s="8">
        <f>SUMIF(Puanlar!C21:AB21,"&gt;=0",Puanlar!$C$3:$AB$3)</f>
        <v>100</v>
      </c>
      <c r="G21" s="8">
        <f>SUMPRODUCT(Puanlar!$C$3:$AB$3,Puanlar!C21:AB21,Guven!C21:AB21)/5</f>
        <v>16.16</v>
      </c>
      <c r="H21" s="9">
        <f>SUMPRODUCT(Puanlar!$C$3:$AB$3,Kanit!C21:AB21)/SUM(Puanlar!$C$3:$AB$3)</f>
        <v>0.24</v>
      </c>
      <c r="I21" s="8">
        <f>SUMPRODUCT(Puanlar!$AD$3:$AG$3,Puanlar!AD21:AG21)/5</f>
        <v>50</v>
      </c>
      <c r="J21" s="10">
        <f>Finans!AB21</f>
        <v>-23940</v>
      </c>
      <c r="K21" s="5">
        <f>Kanit!H21</f>
        <v>0</v>
      </c>
      <c r="L21" s="5">
        <f>IF(E21&gt;=Hedef!$C$10,1,0)</f>
        <v>1</v>
      </c>
      <c r="M21" s="5">
        <f>IF(AND(J21&gt;=Hedef!$C$5*Hedef!$C$11,Finans!AE21&lt;=Hedef!$C$14),1,0)</f>
        <v>0</v>
      </c>
      <c r="N21" s="7" t="str">
        <f>IF(D21="kaldi","Kapıda kaldı",IF(AND(D21="gecti",L21=1,K21&gt;=Hedef!$C$13,J21&gt;=Hedef!$C$5),"Yatırım yap",IF(AND(L21=1,M21=1),"Önce test et",IF(OR(L21=1,M21=1),"Değiştir",IF(I21&gt;=Hedef!$C$12,"Beklet","Bırak")))))</f>
        <v>Kapıda kaldı</v>
      </c>
      <c r="O21" s="5">
        <f>IF(N21="Yatırım yap",0,IF(N21="Önce test et",1,IF(N21="Değiştir",2,IF(N21="Beklet",3,IF(N21="Bırak",4,9)))))</f>
        <v>9</v>
      </c>
      <c r="P21" s="22" t="str">
        <f>IF(D21="kaldi","",O21*1000-G21+21/1000000000)</f>
        <v/>
      </c>
      <c r="Q21" s="5" t="str">
        <f>IF(D21="kaldi","",1+COUNTIF($P$5:$P$136,"&lt;"&amp;P21))</f>
        <v/>
      </c>
      <c r="R21" s="23" t="str">
        <f>IF(D21="kaldi","",E21*(1-IF(E21&gt;0,G21/E21,0))/MAX(1,Deneyler!F21))</f>
        <v/>
      </c>
      <c r="S21" s="22" t="str">
        <f>IF(D21="kaldi","",-R21+21/1000000000)</f>
        <v/>
      </c>
      <c r="T21" s="5" t="str">
        <f>IF(D21="kaldi","",1+COUNTIF($S$5:$S$136,"&lt;"&amp;S21))</f>
        <v/>
      </c>
    </row>
    <row r="22">
      <c r="A22" s="7" t="str">
        <f>Secenekler!A22</f>
        <v>kar-pusulasi-c</v>
      </c>
      <c r="B22" s="7" t="str">
        <f>Secenekler!C22</f>
        <v>SKU katkı raporu (sabit fiyatlı hizmet)</v>
      </c>
      <c r="C22" s="7" t="str">
        <f>Secenekler!B22</f>
        <v>Stratejik Kâr Pusulası (e-ticaret kârlılık aracı)</v>
      </c>
      <c r="D22" s="7" t="str">
        <f>Kapilar!K22</f>
        <v>test</v>
      </c>
      <c r="E22" s="8">
        <f>SUMPRODUCT(Puanlar!$C$3:$AB$3,Puanlar!C22:AB22)/5</f>
        <v>54</v>
      </c>
      <c r="F22" s="8">
        <f>SUMIF(Puanlar!C22:AB22,"&gt;=0",Puanlar!$C$3:$AB$3)</f>
        <v>100</v>
      </c>
      <c r="G22" s="8">
        <f>SUMPRODUCT(Puanlar!$C$3:$AB$3,Puanlar!C22:AB22,Guven!C22:AB22)/5</f>
        <v>22.08</v>
      </c>
      <c r="H22" s="9">
        <f>SUMPRODUCT(Puanlar!$C$3:$AB$3,Kanit!C22:AB22)/SUM(Puanlar!$C$3:$AB$3)</f>
        <v>0.56</v>
      </c>
      <c r="I22" s="8">
        <f>SUMPRODUCT(Puanlar!$AD$3:$AG$3,Puanlar!AD22:AG22)/5</f>
        <v>45</v>
      </c>
      <c r="J22" s="10">
        <f>Finans!AB22</f>
        <v>-5335</v>
      </c>
      <c r="K22" s="5">
        <f>Kanit!H22</f>
        <v>1</v>
      </c>
      <c r="L22" s="5">
        <f>IF(E22&gt;=Hedef!$C$10,1,0)</f>
        <v>1</v>
      </c>
      <c r="M22" s="5">
        <f>IF(AND(J22&gt;=Hedef!$C$5*Hedef!$C$11,Finans!AE22&lt;=Hedef!$C$14),1,0)</f>
        <v>0</v>
      </c>
      <c r="N22" s="7" t="str">
        <f>IF(D22="kaldi","Kapıda kaldı",IF(AND(D22="gecti",L22=1,K22&gt;=Hedef!$C$13,J22&gt;=Hedef!$C$5),"Yatırım yap",IF(AND(L22=1,M22=1),"Önce test et",IF(OR(L22=1,M22=1),"Değiştir",IF(I22&gt;=Hedef!$C$12,"Beklet","Bırak")))))</f>
        <v>Değiştir</v>
      </c>
      <c r="O22" s="5">
        <f>IF(N22="Yatırım yap",0,IF(N22="Önce test et",1,IF(N22="Değiştir",2,IF(N22="Beklet",3,IF(N22="Bırak",4,9)))))</f>
        <v>2</v>
      </c>
      <c r="P22" s="22">
        <f>IF(D22="kaldi","",O22*1000-G22+22/1000000000)</f>
        <v>1977.920000022</v>
      </c>
      <c r="Q22" s="5">
        <f>IF(D22="kaldi","",1+COUNTIF($P$5:$P$136,"&lt;"&amp;P22))</f>
        <v>12</v>
      </c>
      <c r="R22" s="23">
        <f>IF(D22="kaldi","",E22*(1-IF(E22&gt;0,G22/E22,0))/MAX(1,Deneyler!F22))</f>
        <v>1.596</v>
      </c>
      <c r="S22" s="22">
        <f>IF(D22="kaldi","",-R22+22/1000000000)</f>
        <v>-1.595999978</v>
      </c>
      <c r="T22" s="5">
        <f>IF(D22="kaldi","",1+COUNTIF($S$5:$S$136,"&lt;"&amp;S22))</f>
        <v>33</v>
      </c>
    </row>
    <row r="23">
      <c r="A23" s="7" t="str">
        <f>Secenekler!A23</f>
        <v>titanlar-a</v>
      </c>
      <c r="B23" s="7" t="str">
        <f>Secenekler!C23</f>
        <v>Titan Programı: 10 haftalık canlı kohort</v>
      </c>
      <c r="C23" s="7" t="str">
        <f>Secenekler!B23</f>
        <v>Titanlar (e-ticaret eğitimi ve danışmanlık)</v>
      </c>
      <c r="D23" s="7" t="str">
        <f>Kapilar!K23</f>
        <v>test</v>
      </c>
      <c r="E23" s="8">
        <f>SUMPRODUCT(Puanlar!$C$3:$AB$3,Puanlar!C23:AB23)/5</f>
        <v>58.6</v>
      </c>
      <c r="F23" s="8">
        <f>SUMIF(Puanlar!C23:AB23,"&gt;=0",Puanlar!$C$3:$AB$3)</f>
        <v>100</v>
      </c>
      <c r="G23" s="8">
        <f>SUMPRODUCT(Puanlar!$C$3:$AB$3,Puanlar!C23:AB23,Guven!C23:AB23)/5</f>
        <v>22.58</v>
      </c>
      <c r="H23" s="9">
        <f>SUMPRODUCT(Puanlar!$C$3:$AB$3,Kanit!C23:AB23)/SUM(Puanlar!$C$3:$AB$3)</f>
        <v>0.41</v>
      </c>
      <c r="I23" s="8">
        <f>SUMPRODUCT(Puanlar!$AD$3:$AG$3,Puanlar!AD23:AG23)/5</f>
        <v>50</v>
      </c>
      <c r="J23" s="10">
        <f>Finans!AB23</f>
        <v>74900</v>
      </c>
      <c r="K23" s="5">
        <f>Kanit!H23</f>
        <v>1</v>
      </c>
      <c r="L23" s="5">
        <f>IF(E23&gt;=Hedef!$C$10,1,0)</f>
        <v>1</v>
      </c>
      <c r="M23" s="5">
        <f>IF(AND(J23&gt;=Hedef!$C$5*Hedef!$C$11,Finans!AE23&lt;=Hedef!$C$14),1,0)</f>
        <v>1</v>
      </c>
      <c r="N23" s="7" t="str">
        <f>IF(D23="kaldi","Kapıda kaldı",IF(AND(D23="gecti",L23=1,K23&gt;=Hedef!$C$13,J23&gt;=Hedef!$C$5),"Yatırım yap",IF(AND(L23=1,M23=1),"Önce test et",IF(OR(L23=1,M23=1),"Değiştir",IF(I23&gt;=Hedef!$C$12,"Beklet","Bırak")))))</f>
        <v>Önce test et</v>
      </c>
      <c r="O23" s="5">
        <f>IF(N23="Yatırım yap",0,IF(N23="Önce test et",1,IF(N23="Değiştir",2,IF(N23="Beklet",3,IF(N23="Bırak",4,9)))))</f>
        <v>1</v>
      </c>
      <c r="P23" s="22">
        <f>IF(D23="kaldi","",O23*1000-G23+23/1000000000)</f>
        <v>977.420000023</v>
      </c>
      <c r="Q23" s="5">
        <f>IF(D23="kaldi","",1+COUNTIF($P$5:$P$136,"&lt;"&amp;P23))</f>
        <v>2</v>
      </c>
      <c r="R23" s="23">
        <f>IF(D23="kaldi","",E23*(1-IF(E23&gt;0,G23/E23,0))/MAX(1,Deneyler!F23))</f>
        <v>0.4002222222222223</v>
      </c>
      <c r="S23" s="22">
        <f>IF(D23="kaldi","",-R23+23/1000000000)</f>
        <v>-0.4002221992222222</v>
      </c>
      <c r="T23" s="5">
        <f>IF(D23="kaldi","",1+COUNTIF($S$5:$S$136,"&lt;"&amp;S23))</f>
        <v>106</v>
      </c>
    </row>
    <row r="24">
      <c r="A24" s="7" t="str">
        <f>Secenekler!A24</f>
        <v>titanlar-b</v>
      </c>
      <c r="B24" s="7" t="str">
        <f>Secenekler!C24</f>
        <v>Kâr teşhisi: Giriş ve Strateji danışmanlığı</v>
      </c>
      <c r="C24" s="7" t="str">
        <f>Secenekler!B24</f>
        <v>Titanlar (e-ticaret eğitimi ve danışmanlık)</v>
      </c>
      <c r="D24" s="7" t="str">
        <f>Kapilar!K24</f>
        <v>test</v>
      </c>
      <c r="E24" s="8">
        <f>SUMPRODUCT(Puanlar!$C$3:$AB$3,Puanlar!C24:AB24)/5</f>
        <v>62</v>
      </c>
      <c r="F24" s="8">
        <f>SUMIF(Puanlar!C24:AB24,"&gt;=0",Puanlar!$C$3:$AB$3)</f>
        <v>100</v>
      </c>
      <c r="G24" s="8">
        <f>SUMPRODUCT(Puanlar!$C$3:$AB$3,Puanlar!C24:AB24,Guven!C24:AB24)/5</f>
        <v>23.24</v>
      </c>
      <c r="H24" s="9">
        <f>SUMPRODUCT(Puanlar!$C$3:$AB$3,Kanit!C24:AB24)/SUM(Puanlar!$C$3:$AB$3)</f>
        <v>0.36</v>
      </c>
      <c r="I24" s="8">
        <f>SUMPRODUCT(Puanlar!$AD$3:$AG$3,Puanlar!AD24:AG24)/5</f>
        <v>45</v>
      </c>
      <c r="J24" s="10">
        <f>Finans!AB24</f>
        <v>17700</v>
      </c>
      <c r="K24" s="5">
        <f>Kanit!H24</f>
        <v>1</v>
      </c>
      <c r="L24" s="5">
        <f>IF(E24&gt;=Hedef!$C$10,1,0)</f>
        <v>1</v>
      </c>
      <c r="M24" s="5">
        <f>IF(AND(J24&gt;=Hedef!$C$5*Hedef!$C$11,Finans!AE24&lt;=Hedef!$C$14),1,0)</f>
        <v>0</v>
      </c>
      <c r="N24" s="7" t="str">
        <f>IF(D24="kaldi","Kapıda kaldı",IF(AND(D24="gecti",L24=1,K24&gt;=Hedef!$C$13,J24&gt;=Hedef!$C$5),"Yatırım yap",IF(AND(L24=1,M24=1),"Önce test et",IF(OR(L24=1,M24=1),"Değiştir",IF(I24&gt;=Hedef!$C$12,"Beklet","Bırak")))))</f>
        <v>Değiştir</v>
      </c>
      <c r="O24" s="5">
        <f>IF(N24="Yatırım yap",0,IF(N24="Önce test et",1,IF(N24="Değiştir",2,IF(N24="Beklet",3,IF(N24="Bırak",4,9)))))</f>
        <v>2</v>
      </c>
      <c r="P24" s="22">
        <f>IF(D24="kaldi","",O24*1000-G24+24/1000000000)</f>
        <v>1976.760000024</v>
      </c>
      <c r="Q24" s="5">
        <f>IF(D24="kaldi","",1+COUNTIF($P$5:$P$136,"&lt;"&amp;P24))</f>
        <v>7</v>
      </c>
      <c r="R24" s="23">
        <f>IF(D24="kaldi","",E24*(1-IF(E24&gt;0,G24/E24,0))/MAX(1,Deneyler!F24))</f>
        <v>1.5504</v>
      </c>
      <c r="S24" s="22">
        <f>IF(D24="kaldi","",-R24+24/1000000000)</f>
        <v>-1.550399976</v>
      </c>
      <c r="T24" s="5">
        <f>IF(D24="kaldi","",1+COUNTIF($S$5:$S$136,"&lt;"&amp;S24))</f>
        <v>37</v>
      </c>
    </row>
    <row r="25">
      <c r="A25" s="7" t="str">
        <f>Secenekler!A25</f>
        <v>titanlar-c</v>
      </c>
      <c r="B25" s="7" t="str">
        <f>Secenekler!C25</f>
        <v>Kurumsal atölye: oda, belediye ve üretici KOBİ</v>
      </c>
      <c r="C25" s="7" t="str">
        <f>Secenekler!B25</f>
        <v>Titanlar (e-ticaret eğitimi ve danışmanlık)</v>
      </c>
      <c r="D25" s="7" t="str">
        <f>Kapilar!K25</f>
        <v>kaldi</v>
      </c>
      <c r="E25" s="8">
        <f>SUMPRODUCT(Puanlar!$C$3:$AB$3,Puanlar!C25:AB25)/5</f>
        <v>43.4</v>
      </c>
      <c r="F25" s="8">
        <f>SUMIF(Puanlar!C25:AB25,"&gt;=0",Puanlar!$C$3:$AB$3)</f>
        <v>100</v>
      </c>
      <c r="G25" s="8">
        <f>SUMPRODUCT(Puanlar!$C$3:$AB$3,Puanlar!C25:AB25,Guven!C25:AB25)/5</f>
        <v>14.42</v>
      </c>
      <c r="H25" s="9">
        <f>SUMPRODUCT(Puanlar!$C$3:$AB$3,Kanit!C25:AB25)/SUM(Puanlar!$C$3:$AB$3)</f>
        <v>0.14</v>
      </c>
      <c r="I25" s="8">
        <f>SUMPRODUCT(Puanlar!$AD$3:$AG$3,Puanlar!AD25:AG25)/5</f>
        <v>35</v>
      </c>
      <c r="J25" s="10">
        <f>Finans!AB25</f>
        <v>-11600</v>
      </c>
      <c r="K25" s="5">
        <f>Kanit!H25</f>
        <v>0</v>
      </c>
      <c r="L25" s="5">
        <f>IF(E25&gt;=Hedef!$C$10,1,0)</f>
        <v>0</v>
      </c>
      <c r="M25" s="5">
        <f>IF(AND(J25&gt;=Hedef!$C$5*Hedef!$C$11,Finans!AE25&lt;=Hedef!$C$14),1,0)</f>
        <v>0</v>
      </c>
      <c r="N25" s="7" t="str">
        <f>IF(D25="kaldi","Kapıda kaldı",IF(AND(D25="gecti",L25=1,K25&gt;=Hedef!$C$13,J25&gt;=Hedef!$C$5),"Yatırım yap",IF(AND(L25=1,M25=1),"Önce test et",IF(OR(L25=1,M25=1),"Değiştir",IF(I25&gt;=Hedef!$C$12,"Beklet","Bırak")))))</f>
        <v>Kapıda kaldı</v>
      </c>
      <c r="O25" s="5">
        <f>IF(N25="Yatırım yap",0,IF(N25="Önce test et",1,IF(N25="Değiştir",2,IF(N25="Beklet",3,IF(N25="Bırak",4,9)))))</f>
        <v>9</v>
      </c>
      <c r="P25" s="22" t="str">
        <f>IF(D25="kaldi","",O25*1000-G25+25/1000000000)</f>
        <v/>
      </c>
      <c r="Q25" s="5" t="str">
        <f>IF(D25="kaldi","",1+COUNTIF($P$5:$P$136,"&lt;"&amp;P25))</f>
        <v/>
      </c>
      <c r="R25" s="23" t="str">
        <f>IF(D25="kaldi","",E25*(1-IF(E25&gt;0,G25/E25,0))/MAX(1,Deneyler!F25))</f>
        <v/>
      </c>
      <c r="S25" s="22" t="str">
        <f>IF(D25="kaldi","",-R25+25/1000000000)</f>
        <v/>
      </c>
      <c r="T25" s="5" t="str">
        <f>IF(D25="kaldi","",1+COUNTIF($S$5:$S$136,"&lt;"&amp;S25))</f>
        <v/>
      </c>
    </row>
    <row r="26">
      <c r="A26" s="7" t="str">
        <f>Secenekler!A26</f>
        <v>kurumsal-site-a</v>
      </c>
      <c r="B26" s="7" t="str">
        <f>Secenekler!C26</f>
        <v>İhracat paketi: sabit kapsamlı 3 dilli üretici sitesi</v>
      </c>
      <c r="C26" s="7" t="str">
        <f>Secenekler!B26</f>
        <v>Kurumsal site hizmeti (KOBİ)</v>
      </c>
      <c r="D26" s="7" t="str">
        <f>Kapilar!K26</f>
        <v>test</v>
      </c>
      <c r="E26" s="8">
        <f>SUMPRODUCT(Puanlar!$C$3:$AB$3,Puanlar!C26:AB26)/5</f>
        <v>56.2</v>
      </c>
      <c r="F26" s="8">
        <f>SUMIF(Puanlar!C26:AB26,"&gt;=0",Puanlar!$C$3:$AB$3)</f>
        <v>100</v>
      </c>
      <c r="G26" s="8">
        <f>SUMPRODUCT(Puanlar!$C$3:$AB$3,Puanlar!C26:AB26,Guven!C26:AB26)/5</f>
        <v>23.06</v>
      </c>
      <c r="H26" s="9">
        <f>SUMPRODUCT(Puanlar!$C$3:$AB$3,Kanit!C26:AB26)/SUM(Puanlar!$C$3:$AB$3)</f>
        <v>0.53</v>
      </c>
      <c r="I26" s="8">
        <f>SUMPRODUCT(Puanlar!$AD$3:$AG$3,Puanlar!AD26:AG26)/5</f>
        <v>60</v>
      </c>
      <c r="J26" s="10">
        <f>Finans!AB26</f>
        <v>65400</v>
      </c>
      <c r="K26" s="5">
        <f>Kanit!H26</f>
        <v>1</v>
      </c>
      <c r="L26" s="5">
        <f>IF(E26&gt;=Hedef!$C$10,1,0)</f>
        <v>1</v>
      </c>
      <c r="M26" s="5">
        <f>IF(AND(J26&gt;=Hedef!$C$5*Hedef!$C$11,Finans!AE26&lt;=Hedef!$C$14),1,0)</f>
        <v>0</v>
      </c>
      <c r="N26" s="7" t="str">
        <f>IF(D26="kaldi","Kapıda kaldı",IF(AND(D26="gecti",L26=1,K26&gt;=Hedef!$C$13,J26&gt;=Hedef!$C$5),"Yatırım yap",IF(AND(L26=1,M26=1),"Önce test et",IF(OR(L26=1,M26=1),"Değiştir",IF(I26&gt;=Hedef!$C$12,"Beklet","Bırak")))))</f>
        <v>Değiştir</v>
      </c>
      <c r="O26" s="5">
        <f>IF(N26="Yatırım yap",0,IF(N26="Önce test et",1,IF(N26="Değiştir",2,IF(N26="Beklet",3,IF(N26="Bırak",4,9)))))</f>
        <v>2</v>
      </c>
      <c r="P26" s="22">
        <f>IF(D26="kaldi","",O26*1000-G26+26/1000000000)</f>
        <v>1976.940000026</v>
      </c>
      <c r="Q26" s="5">
        <f>IF(D26="kaldi","",1+COUNTIF($P$5:$P$136,"&lt;"&amp;P26))</f>
        <v>9</v>
      </c>
      <c r="R26" s="23">
        <f>IF(D26="kaldi","",E26*(1-IF(E26&gt;0,G26/E26,0))/MAX(1,Deneyler!F26))</f>
        <v>0.8285</v>
      </c>
      <c r="S26" s="22">
        <f>IF(D26="kaldi","",-R26+26/1000000000)</f>
        <v>-0.828499974</v>
      </c>
      <c r="T26" s="5">
        <f>IF(D26="kaldi","",1+COUNTIF($S$5:$S$136,"&lt;"&amp;S26))</f>
        <v>85</v>
      </c>
    </row>
    <row r="27">
      <c r="A27" s="7" t="str">
        <f>Secenekler!A27</f>
        <v>kurumsal-site-b</v>
      </c>
      <c r="B27" s="7" t="str">
        <f>Secenekler!C27</f>
        <v>Vitrin paketi: 2 dilli giriş sitesi (45.000 ₺)</v>
      </c>
      <c r="C27" s="7" t="str">
        <f>Secenekler!B27</f>
        <v>Kurumsal site hizmeti (KOBİ)</v>
      </c>
      <c r="D27" s="7" t="str">
        <f>Kapilar!K27</f>
        <v>test</v>
      </c>
      <c r="E27" s="8">
        <f>SUMPRODUCT(Puanlar!$C$3:$AB$3,Puanlar!C27:AB27)/5</f>
        <v>50.6</v>
      </c>
      <c r="F27" s="8">
        <f>SUMIF(Puanlar!C27:AB27,"&gt;=0",Puanlar!$C$3:$AB$3)</f>
        <v>100</v>
      </c>
      <c r="G27" s="8">
        <f>SUMPRODUCT(Puanlar!$C$3:$AB$3,Puanlar!C27:AB27,Guven!C27:AB27)/5</f>
        <v>20.06</v>
      </c>
      <c r="H27" s="9">
        <f>SUMPRODUCT(Puanlar!$C$3:$AB$3,Kanit!C27:AB27)/SUM(Puanlar!$C$3:$AB$3)</f>
        <v>0.45</v>
      </c>
      <c r="I27" s="8">
        <f>SUMPRODUCT(Puanlar!$AD$3:$AG$3,Puanlar!AD27:AG27)/5</f>
        <v>50</v>
      </c>
      <c r="J27" s="10">
        <f>Finans!AB27</f>
        <v>63400</v>
      </c>
      <c r="K27" s="5">
        <f>Kanit!H27</f>
        <v>1</v>
      </c>
      <c r="L27" s="5">
        <f>IF(E27&gt;=Hedef!$C$10,1,0)</f>
        <v>1</v>
      </c>
      <c r="M27" s="5">
        <f>IF(AND(J27&gt;=Hedef!$C$5*Hedef!$C$11,Finans!AE27&lt;=Hedef!$C$14),1,0)</f>
        <v>0</v>
      </c>
      <c r="N27" s="7" t="str">
        <f>IF(D27="kaldi","Kapıda kaldı",IF(AND(D27="gecti",L27=1,K27&gt;=Hedef!$C$13,J27&gt;=Hedef!$C$5),"Yatırım yap",IF(AND(L27=1,M27=1),"Önce test et",IF(OR(L27=1,M27=1),"Değiştir",IF(I27&gt;=Hedef!$C$12,"Beklet","Bırak")))))</f>
        <v>Değiştir</v>
      </c>
      <c r="O27" s="5">
        <f>IF(N27="Yatırım yap",0,IF(N27="Önce test et",1,IF(N27="Değiştir",2,IF(N27="Beklet",3,IF(N27="Bırak",4,9)))))</f>
        <v>2</v>
      </c>
      <c r="P27" s="22">
        <f>IF(D27="kaldi","",O27*1000-G27+27/1000000000)</f>
        <v>1979.940000027</v>
      </c>
      <c r="Q27" s="5">
        <f>IF(D27="kaldi","",1+COUNTIF($P$5:$P$136,"&lt;"&amp;P27))</f>
        <v>26</v>
      </c>
      <c r="R27" s="23">
        <f>IF(D27="kaldi","",E27*(1-IF(E27&gt;0,G27/E27,0))/MAX(1,Deneyler!F27))</f>
        <v>1.527</v>
      </c>
      <c r="S27" s="22">
        <f>IF(D27="kaldi","",-R27+27/1000000000)</f>
        <v>-1.526999973</v>
      </c>
      <c r="T27" s="5">
        <f>IF(D27="kaldi","",1+COUNTIF($S$5:$S$136,"&lt;"&amp;S27))</f>
        <v>38</v>
      </c>
    </row>
    <row r="28">
      <c r="A28" s="7" t="str">
        <f>Secenekler!A28</f>
        <v>kurumsal-site-c</v>
      </c>
      <c r="B28" s="7" t="str">
        <f>Secenekler!C28</f>
        <v>Markasız Astro sanayi teması (kod satışı)</v>
      </c>
      <c r="C28" s="7" t="str">
        <f>Secenekler!B28</f>
        <v>Kurumsal site hizmeti (KOBİ)</v>
      </c>
      <c r="D28" s="7" t="str">
        <f>Kapilar!K28</f>
        <v>test</v>
      </c>
      <c r="E28" s="8">
        <f>SUMPRODUCT(Puanlar!$C$3:$AB$3,Puanlar!C28:AB28)/5</f>
        <v>49.2</v>
      </c>
      <c r="F28" s="8">
        <f>SUMIF(Puanlar!C28:AB28,"&gt;=0",Puanlar!$C$3:$AB$3)</f>
        <v>100</v>
      </c>
      <c r="G28" s="8">
        <f>SUMPRODUCT(Puanlar!$C$3:$AB$3,Puanlar!C28:AB28,Guven!C28:AB28)/5</f>
        <v>16.4</v>
      </c>
      <c r="H28" s="9">
        <f>SUMPRODUCT(Puanlar!$C$3:$AB$3,Kanit!C28:AB28)/SUM(Puanlar!$C$3:$AB$3)</f>
        <v>0.15</v>
      </c>
      <c r="I28" s="8">
        <f>SUMPRODUCT(Puanlar!$AD$3:$AG$3,Puanlar!AD28:AG28)/5</f>
        <v>50</v>
      </c>
      <c r="J28" s="10">
        <f>Finans!AB28</f>
        <v>16380</v>
      </c>
      <c r="K28" s="5">
        <f>Kanit!H28</f>
        <v>0</v>
      </c>
      <c r="L28" s="5">
        <f>IF(E28&gt;=Hedef!$C$10,1,0)</f>
        <v>1</v>
      </c>
      <c r="M28" s="5">
        <f>IF(AND(J28&gt;=Hedef!$C$5*Hedef!$C$11,Finans!AE28&lt;=Hedef!$C$14),1,0)</f>
        <v>0</v>
      </c>
      <c r="N28" s="7" t="str">
        <f>IF(D28="kaldi","Kapıda kaldı",IF(AND(D28="gecti",L28=1,K28&gt;=Hedef!$C$13,J28&gt;=Hedef!$C$5),"Yatırım yap",IF(AND(L28=1,M28=1),"Önce test et",IF(OR(L28=1,M28=1),"Değiştir",IF(I28&gt;=Hedef!$C$12,"Beklet","Bırak")))))</f>
        <v>Değiştir</v>
      </c>
      <c r="O28" s="5">
        <f>IF(N28="Yatırım yap",0,IF(N28="Önce test et",1,IF(N28="Değiştir",2,IF(N28="Beklet",3,IF(N28="Bırak",4,9)))))</f>
        <v>2</v>
      </c>
      <c r="P28" s="22">
        <f>IF(D28="kaldi","",O28*1000-G28+28/1000000000)</f>
        <v>1983.600000028</v>
      </c>
      <c r="Q28" s="5">
        <f>IF(D28="kaldi","",1+COUNTIF($P$5:$P$136,"&lt;"&amp;P28))</f>
        <v>70</v>
      </c>
      <c r="R28" s="23">
        <f>IF(D28="kaldi","",E28*(1-IF(E28&gt;0,G28/E28,0))/MAX(1,Deneyler!F28))</f>
        <v>1.093333333333333</v>
      </c>
      <c r="S28" s="22">
        <f>IF(D28="kaldi","",-R28+28/1000000000)</f>
        <v>-1.093333305333333</v>
      </c>
      <c r="T28" s="5">
        <f>IF(D28="kaldi","",1+COUNTIF($S$5:$S$136,"&lt;"&amp;S28))</f>
        <v>64</v>
      </c>
    </row>
    <row r="29">
      <c r="A29" s="7" t="str">
        <f>Secenekler!A29</f>
        <v>uretici-kobi-paketi-a</v>
      </c>
      <c r="B29" s="7" t="str">
        <f>Secenekler!C29</f>
        <v>Başlangıç paketi: fizibilite, vitrin site, açılış planı</v>
      </c>
      <c r="C29" s="7" t="str">
        <f>Secenekler!B29</f>
        <v>Üretici KOBİ dijital başlangıç paketi</v>
      </c>
      <c r="D29" s="7" t="str">
        <f>Kapilar!K29</f>
        <v>test</v>
      </c>
      <c r="E29" s="8">
        <f>SUMPRODUCT(Puanlar!$C$3:$AB$3,Puanlar!C29:AB29)/5</f>
        <v>52.6</v>
      </c>
      <c r="F29" s="8">
        <f>SUMIF(Puanlar!C29:AB29,"&gt;=0",Puanlar!$C$3:$AB$3)</f>
        <v>100</v>
      </c>
      <c r="G29" s="8">
        <f>SUMPRODUCT(Puanlar!$C$3:$AB$3,Puanlar!C29:AB29,Guven!C29:AB29)/5</f>
        <v>20.78</v>
      </c>
      <c r="H29" s="9">
        <f>SUMPRODUCT(Puanlar!$C$3:$AB$3,Kanit!C29:AB29)/SUM(Puanlar!$C$3:$AB$3)</f>
        <v>0.47</v>
      </c>
      <c r="I29" s="8">
        <f>SUMPRODUCT(Puanlar!$AD$3:$AG$3,Puanlar!AD29:AG29)/5</f>
        <v>55</v>
      </c>
      <c r="J29" s="10">
        <f>Finans!AB29</f>
        <v>11200</v>
      </c>
      <c r="K29" s="5">
        <f>Kanit!H29</f>
        <v>1</v>
      </c>
      <c r="L29" s="5">
        <f>IF(E29&gt;=Hedef!$C$10,1,0)</f>
        <v>1</v>
      </c>
      <c r="M29" s="5">
        <f>IF(AND(J29&gt;=Hedef!$C$5*Hedef!$C$11,Finans!AE29&lt;=Hedef!$C$14),1,0)</f>
        <v>0</v>
      </c>
      <c r="N29" s="7" t="str">
        <f>IF(D29="kaldi","Kapıda kaldı",IF(AND(D29="gecti",L29=1,K29&gt;=Hedef!$C$13,J29&gt;=Hedef!$C$5),"Yatırım yap",IF(AND(L29=1,M29=1),"Önce test et",IF(OR(L29=1,M29=1),"Değiştir",IF(I29&gt;=Hedef!$C$12,"Beklet","Bırak")))))</f>
        <v>Değiştir</v>
      </c>
      <c r="O29" s="5">
        <f>IF(N29="Yatırım yap",0,IF(N29="Önce test et",1,IF(N29="Değiştir",2,IF(N29="Beklet",3,IF(N29="Bırak",4,9)))))</f>
        <v>2</v>
      </c>
      <c r="P29" s="22">
        <f>IF(D29="kaldi","",O29*1000-G29+29/1000000000)</f>
        <v>1979.220000029</v>
      </c>
      <c r="Q29" s="5">
        <f>IF(D29="kaldi","",1+COUNTIF($P$5:$P$136,"&lt;"&amp;P29))</f>
        <v>17</v>
      </c>
      <c r="R29" s="23">
        <f>IF(D29="kaldi","",E29*(1-IF(E29&gt;0,G29/E29,0))/MAX(1,Deneyler!F29))</f>
        <v>1.2728</v>
      </c>
      <c r="S29" s="22">
        <f>IF(D29="kaldi","",-R29+29/1000000000)</f>
        <v>-1.272799971</v>
      </c>
      <c r="T29" s="5">
        <f>IF(D29="kaldi","",1+COUNTIF($S$5:$S$136,"&lt;"&amp;S29))</f>
        <v>47</v>
      </c>
    </row>
    <row r="30">
      <c r="A30" s="7" t="str">
        <f>Secenekler!A30</f>
        <v>uretici-kobi-paketi-b</v>
      </c>
      <c r="B30" s="7" t="str">
        <f>Secenekler!C30</f>
        <v>Fizibilite paketi: rakip analizi, kârlılık modeli, simülatör</v>
      </c>
      <c r="C30" s="7" t="str">
        <f>Secenekler!B30</f>
        <v>Üretici KOBİ dijital başlangıç paketi</v>
      </c>
      <c r="D30" s="7" t="str">
        <f>Kapilar!K30</f>
        <v>test</v>
      </c>
      <c r="E30" s="8">
        <f>SUMPRODUCT(Puanlar!$C$3:$AB$3,Puanlar!C30:AB30)/5</f>
        <v>57</v>
      </c>
      <c r="F30" s="8">
        <f>SUMIF(Puanlar!C30:AB30,"&gt;=0",Puanlar!$C$3:$AB$3)</f>
        <v>100</v>
      </c>
      <c r="G30" s="8">
        <f>SUMPRODUCT(Puanlar!$C$3:$AB$3,Puanlar!C30:AB30,Guven!C30:AB30)/5</f>
        <v>23.14</v>
      </c>
      <c r="H30" s="9">
        <f>SUMPRODUCT(Puanlar!$C$3:$AB$3,Kanit!C30:AB30)/SUM(Puanlar!$C$3:$AB$3)</f>
        <v>0.51</v>
      </c>
      <c r="I30" s="8">
        <f>SUMPRODUCT(Puanlar!$AD$3:$AG$3,Puanlar!AD30:AG30)/5</f>
        <v>50</v>
      </c>
      <c r="J30" s="10">
        <f>Finans!AB30</f>
        <v>-7800</v>
      </c>
      <c r="K30" s="5">
        <f>Kanit!H30</f>
        <v>1</v>
      </c>
      <c r="L30" s="5">
        <f>IF(E30&gt;=Hedef!$C$10,1,0)</f>
        <v>1</v>
      </c>
      <c r="M30" s="5">
        <f>IF(AND(J30&gt;=Hedef!$C$5*Hedef!$C$11,Finans!AE30&lt;=Hedef!$C$14),1,0)</f>
        <v>0</v>
      </c>
      <c r="N30" s="7" t="str">
        <f>IF(D30="kaldi","Kapıda kaldı",IF(AND(D30="gecti",L30=1,K30&gt;=Hedef!$C$13,J30&gt;=Hedef!$C$5),"Yatırım yap",IF(AND(L30=1,M30=1),"Önce test et",IF(OR(L30=1,M30=1),"Değiştir",IF(I30&gt;=Hedef!$C$12,"Beklet","Bırak")))))</f>
        <v>Değiştir</v>
      </c>
      <c r="O30" s="5">
        <f>IF(N30="Yatırım yap",0,IF(N30="Önce test et",1,IF(N30="Değiştir",2,IF(N30="Beklet",3,IF(N30="Bırak",4,9)))))</f>
        <v>2</v>
      </c>
      <c r="P30" s="22">
        <f>IF(D30="kaldi","",O30*1000-G30+30/1000000000)</f>
        <v>1976.86000003</v>
      </c>
      <c r="Q30" s="5">
        <f>IF(D30="kaldi","",1+COUNTIF($P$5:$P$136,"&lt;"&amp;P30))</f>
        <v>8</v>
      </c>
      <c r="R30" s="23">
        <f>IF(D30="kaldi","",E30*(1-IF(E30&gt;0,G30/E30,0))/MAX(1,Deneyler!F30))</f>
        <v>1.693</v>
      </c>
      <c r="S30" s="22">
        <f>IF(D30="kaldi","",-R30+30/1000000000)</f>
        <v>-1.69299997</v>
      </c>
      <c r="T30" s="5">
        <f>IF(D30="kaldi","",1+COUNTIF($S$5:$S$136,"&lt;"&amp;S30))</f>
        <v>31</v>
      </c>
    </row>
    <row r="31">
      <c r="A31" s="7" t="str">
        <f>Secenekler!A31</f>
        <v>uretici-kobi-paketi-c</v>
      </c>
      <c r="B31" s="7" t="str">
        <f>Secenekler!C31</f>
        <v>Katalog ve teklif formu sitesi (kumaş üreticisi)</v>
      </c>
      <c r="C31" s="7" t="str">
        <f>Secenekler!B31</f>
        <v>Üretici KOBİ dijital başlangıç paketi</v>
      </c>
      <c r="D31" s="7" t="str">
        <f>Kapilar!K31</f>
        <v>test</v>
      </c>
      <c r="E31" s="8">
        <f>SUMPRODUCT(Puanlar!$C$3:$AB$3,Puanlar!C31:AB31)/5</f>
        <v>50.8</v>
      </c>
      <c r="F31" s="8">
        <f>SUMIF(Puanlar!C31:AB31,"&gt;=0",Puanlar!$C$3:$AB$3)</f>
        <v>100</v>
      </c>
      <c r="G31" s="8">
        <f>SUMPRODUCT(Puanlar!$C$3:$AB$3,Puanlar!C31:AB31,Guven!C31:AB31)/5</f>
        <v>19</v>
      </c>
      <c r="H31" s="9">
        <f>SUMPRODUCT(Puanlar!$C$3:$AB$3,Kanit!C31:AB31)/SUM(Puanlar!$C$3:$AB$3)</f>
        <v>0.36</v>
      </c>
      <c r="I31" s="8">
        <f>SUMPRODUCT(Puanlar!$AD$3:$AG$3,Puanlar!AD31:AG31)/5</f>
        <v>40</v>
      </c>
      <c r="J31" s="10">
        <f>Finans!AB31</f>
        <v>-30300</v>
      </c>
      <c r="K31" s="5">
        <f>Kanit!H31</f>
        <v>1</v>
      </c>
      <c r="L31" s="5">
        <f>IF(E31&gt;=Hedef!$C$10,1,0)</f>
        <v>1</v>
      </c>
      <c r="M31" s="5">
        <f>IF(AND(J31&gt;=Hedef!$C$5*Hedef!$C$11,Finans!AE31&lt;=Hedef!$C$14),1,0)</f>
        <v>0</v>
      </c>
      <c r="N31" s="7" t="str">
        <f>IF(D31="kaldi","Kapıda kaldı",IF(AND(D31="gecti",L31=1,K31&gt;=Hedef!$C$13,J31&gt;=Hedef!$C$5),"Yatırım yap",IF(AND(L31=1,M31=1),"Önce test et",IF(OR(L31=1,M31=1),"Değiştir",IF(I31&gt;=Hedef!$C$12,"Beklet","Bırak")))))</f>
        <v>Değiştir</v>
      </c>
      <c r="O31" s="5">
        <f>IF(N31="Yatırım yap",0,IF(N31="Önce test et",1,IF(N31="Değiştir",2,IF(N31="Beklet",3,IF(N31="Bırak",4,9)))))</f>
        <v>2</v>
      </c>
      <c r="P31" s="22">
        <f>IF(D31="kaldi","",O31*1000-G31+31/1000000000)</f>
        <v>1981.000000031</v>
      </c>
      <c r="Q31" s="5">
        <f>IF(D31="kaldi","",1+COUNTIF($P$5:$P$136,"&lt;"&amp;P31))</f>
        <v>42</v>
      </c>
      <c r="R31" s="23">
        <f>IF(D31="kaldi","",E31*(1-IF(E31&gt;0,G31/E31,0))/MAX(1,Deneyler!F31))</f>
        <v>1.06</v>
      </c>
      <c r="S31" s="22">
        <f>IF(D31="kaldi","",-R31+31/1000000000)</f>
        <v>-1.059999969</v>
      </c>
      <c r="T31" s="5">
        <f>IF(D31="kaldi","",1+COUNTIF($S$5:$S$136,"&lt;"&amp;S31))</f>
        <v>66</v>
      </c>
    </row>
    <row r="32">
      <c r="A32" s="7" t="str">
        <f>Secenekler!A32</f>
        <v>wp-nis-eklentiler-a</v>
      </c>
      <c r="B32" s="7" t="str">
        <f>Secenekler!C32</f>
        <v>KVKK Lite Pro: ajans lisansı</v>
      </c>
      <c r="C32" s="7" t="str">
        <f>Secenekler!B32</f>
        <v>WordPress / WooCommerce Türkiye niş eklenti hattı</v>
      </c>
      <c r="D32" s="7" t="str">
        <f>Kapilar!K32</f>
        <v>test</v>
      </c>
      <c r="E32" s="8">
        <f>SUMPRODUCT(Puanlar!$C$3:$AB$3,Puanlar!C32:AB32)/5</f>
        <v>52</v>
      </c>
      <c r="F32" s="8">
        <f>SUMIF(Puanlar!C32:AB32,"&gt;=0",Puanlar!$C$3:$AB$3)</f>
        <v>100</v>
      </c>
      <c r="G32" s="8">
        <f>SUMPRODUCT(Puanlar!$C$3:$AB$3,Puanlar!C32:AB32,Guven!C32:AB32)/5</f>
        <v>20.12</v>
      </c>
      <c r="H32" s="9">
        <f>SUMPRODUCT(Puanlar!$C$3:$AB$3,Kanit!C32:AB32)/SUM(Puanlar!$C$3:$AB$3)</f>
        <v>0.41</v>
      </c>
      <c r="I32" s="8">
        <f>SUMPRODUCT(Puanlar!$AD$3:$AG$3,Puanlar!AD32:AG32)/5</f>
        <v>60</v>
      </c>
      <c r="J32" s="10">
        <f>Finans!AB32</f>
        <v>-13806</v>
      </c>
      <c r="K32" s="5">
        <f>Kanit!H32</f>
        <v>1</v>
      </c>
      <c r="L32" s="5">
        <f>IF(E32&gt;=Hedef!$C$10,1,0)</f>
        <v>1</v>
      </c>
      <c r="M32" s="5">
        <f>IF(AND(J32&gt;=Hedef!$C$5*Hedef!$C$11,Finans!AE32&lt;=Hedef!$C$14),1,0)</f>
        <v>0</v>
      </c>
      <c r="N32" s="7" t="str">
        <f>IF(D32="kaldi","Kapıda kaldı",IF(AND(D32="gecti",L32=1,K32&gt;=Hedef!$C$13,J32&gt;=Hedef!$C$5),"Yatırım yap",IF(AND(L32=1,M32=1),"Önce test et",IF(OR(L32=1,M32=1),"Değiştir",IF(I32&gt;=Hedef!$C$12,"Beklet","Bırak")))))</f>
        <v>Değiştir</v>
      </c>
      <c r="O32" s="5">
        <f>IF(N32="Yatırım yap",0,IF(N32="Önce test et",1,IF(N32="Değiştir",2,IF(N32="Beklet",3,IF(N32="Bırak",4,9)))))</f>
        <v>2</v>
      </c>
      <c r="P32" s="22">
        <f>IF(D32="kaldi","",O32*1000-G32+32/1000000000)</f>
        <v>1979.880000032</v>
      </c>
      <c r="Q32" s="5">
        <f>IF(D32="kaldi","",1+COUNTIF($P$5:$P$136,"&lt;"&amp;P32))</f>
        <v>24</v>
      </c>
      <c r="R32" s="23">
        <f>IF(D32="kaldi","",E32*(1-IF(E32&gt;0,G32/E32,0))/MAX(1,Deneyler!F32))</f>
        <v>1.594</v>
      </c>
      <c r="S32" s="22">
        <f>IF(D32="kaldi","",-R32+32/1000000000)</f>
        <v>-1.593999968</v>
      </c>
      <c r="T32" s="5">
        <f>IF(D32="kaldi","",1+COUNTIF($S$5:$S$136,"&lt;"&amp;S32))</f>
        <v>34</v>
      </c>
    </row>
    <row r="33">
      <c r="A33" s="7" t="str">
        <f>Secenekler!A33</f>
        <v>wp-nis-eklentiler-b</v>
      </c>
      <c r="B33" s="7" t="str">
        <f>Secenekler!C33</f>
        <v>Taksit Tablosu ve Kapıda Ödeme Pro: tek mağaza</v>
      </c>
      <c r="C33" s="7" t="str">
        <f>Secenekler!B33</f>
        <v>WordPress / WooCommerce Türkiye niş eklenti hattı</v>
      </c>
      <c r="D33" s="7" t="str">
        <f>Kapilar!K33</f>
        <v>test</v>
      </c>
      <c r="E33" s="8">
        <f>SUMPRODUCT(Puanlar!$C$3:$AB$3,Puanlar!C33:AB33)/5</f>
        <v>52</v>
      </c>
      <c r="F33" s="8">
        <f>SUMIF(Puanlar!C33:AB33,"&gt;=0",Puanlar!$C$3:$AB$3)</f>
        <v>100</v>
      </c>
      <c r="G33" s="8">
        <f>SUMPRODUCT(Puanlar!$C$3:$AB$3,Puanlar!C33:AB33,Guven!C33:AB33)/5</f>
        <v>18.04</v>
      </c>
      <c r="H33" s="9">
        <f>SUMPRODUCT(Puanlar!$C$3:$AB$3,Kanit!C33:AB33)/SUM(Puanlar!$C$3:$AB$3)</f>
        <v>0.18</v>
      </c>
      <c r="I33" s="8">
        <f>SUMPRODUCT(Puanlar!$AD$3:$AG$3,Puanlar!AD33:AG33)/5</f>
        <v>55</v>
      </c>
      <c r="J33" s="10">
        <f>Finans!AB33</f>
        <v>-16666</v>
      </c>
      <c r="K33" s="5">
        <f>Kanit!H33</f>
        <v>0</v>
      </c>
      <c r="L33" s="5">
        <f>IF(E33&gt;=Hedef!$C$10,1,0)</f>
        <v>1</v>
      </c>
      <c r="M33" s="5">
        <f>IF(AND(J33&gt;=Hedef!$C$5*Hedef!$C$11,Finans!AE33&lt;=Hedef!$C$14),1,0)</f>
        <v>0</v>
      </c>
      <c r="N33" s="7" t="str">
        <f>IF(D33="kaldi","Kapıda kaldı",IF(AND(D33="gecti",L33=1,K33&gt;=Hedef!$C$13,J33&gt;=Hedef!$C$5),"Yatırım yap",IF(AND(L33=1,M33=1),"Önce test et",IF(OR(L33=1,M33=1),"Değiştir",IF(I33&gt;=Hedef!$C$12,"Beklet","Bırak")))))</f>
        <v>Değiştir</v>
      </c>
      <c r="O33" s="5">
        <f>IF(N33="Yatırım yap",0,IF(N33="Önce test et",1,IF(N33="Değiştir",2,IF(N33="Beklet",3,IF(N33="Bırak",4,9)))))</f>
        <v>2</v>
      </c>
      <c r="P33" s="22">
        <f>IF(D33="kaldi","",O33*1000-G33+33/1000000000)</f>
        <v>1981.960000033</v>
      </c>
      <c r="Q33" s="5">
        <f>IF(D33="kaldi","",1+COUNTIF($P$5:$P$136,"&lt;"&amp;P33))</f>
        <v>53</v>
      </c>
      <c r="R33" s="23">
        <f>IF(D33="kaldi","",E33*(1-IF(E33&gt;0,G33/E33,0))/MAX(1,Deneyler!F33))</f>
        <v>2.83</v>
      </c>
      <c r="S33" s="22">
        <f>IF(D33="kaldi","",-R33+33/1000000000)</f>
        <v>-2.829999967</v>
      </c>
      <c r="T33" s="5">
        <f>IF(D33="kaldi","",1+COUNTIF($S$5:$S$136,"&lt;"&amp;S33))</f>
        <v>7</v>
      </c>
    </row>
    <row r="34">
      <c r="A34" s="7" t="str">
        <f>Secenekler!A34</f>
        <v>wp-nis-eklentiler-c</v>
      </c>
      <c r="B34" s="7" t="str">
        <f>Secenekler!C34</f>
        <v>Türkiye uyum kurulumu: sabit fiyatlı hizmet</v>
      </c>
      <c r="C34" s="7" t="str">
        <f>Secenekler!B34</f>
        <v>WordPress / WooCommerce Türkiye niş eklenti hattı</v>
      </c>
      <c r="D34" s="7" t="str">
        <f>Kapilar!K34</f>
        <v>test</v>
      </c>
      <c r="E34" s="8">
        <f>SUMPRODUCT(Puanlar!$C$3:$AB$3,Puanlar!C34:AB34)/5</f>
        <v>53.6</v>
      </c>
      <c r="F34" s="8">
        <f>SUMIF(Puanlar!C34:AB34,"&gt;=0",Puanlar!$C$3:$AB$3)</f>
        <v>100</v>
      </c>
      <c r="G34" s="8">
        <f>SUMPRODUCT(Puanlar!$C$3:$AB$3,Puanlar!C34:AB34,Guven!C34:AB34)/5</f>
        <v>19.56</v>
      </c>
      <c r="H34" s="9">
        <f>SUMPRODUCT(Puanlar!$C$3:$AB$3,Kanit!C34:AB34)/SUM(Puanlar!$C$3:$AB$3)</f>
        <v>0.3</v>
      </c>
      <c r="I34" s="8">
        <f>SUMPRODUCT(Puanlar!$AD$3:$AG$3,Puanlar!AD34:AG34)/5</f>
        <v>45</v>
      </c>
      <c r="J34" s="10">
        <f>Finans!AB34</f>
        <v>-3500</v>
      </c>
      <c r="K34" s="5">
        <f>Kanit!H34</f>
        <v>0</v>
      </c>
      <c r="L34" s="5">
        <f>IF(E34&gt;=Hedef!$C$10,1,0)</f>
        <v>1</v>
      </c>
      <c r="M34" s="5">
        <f>IF(AND(J34&gt;=Hedef!$C$5*Hedef!$C$11,Finans!AE34&lt;=Hedef!$C$14),1,0)</f>
        <v>0</v>
      </c>
      <c r="N34" s="7" t="str">
        <f>IF(D34="kaldi","Kapıda kaldı",IF(AND(D34="gecti",L34=1,K34&gt;=Hedef!$C$13,J34&gt;=Hedef!$C$5),"Yatırım yap",IF(AND(L34=1,M34=1),"Önce test et",IF(OR(L34=1,M34=1),"Değiştir",IF(I34&gt;=Hedef!$C$12,"Beklet","Bırak")))))</f>
        <v>Değiştir</v>
      </c>
      <c r="O34" s="5">
        <f>IF(N34="Yatırım yap",0,IF(N34="Önce test et",1,IF(N34="Değiştir",2,IF(N34="Beklet",3,IF(N34="Bırak",4,9)))))</f>
        <v>2</v>
      </c>
      <c r="P34" s="22">
        <f>IF(D34="kaldi","",O34*1000-G34+34/1000000000)</f>
        <v>1980.440000034</v>
      </c>
      <c r="Q34" s="5">
        <f>IF(D34="kaldi","",1+COUNTIF($P$5:$P$136,"&lt;"&amp;P34))</f>
        <v>34</v>
      </c>
      <c r="R34" s="23">
        <f>IF(D34="kaldi","",E34*(1-IF(E34&gt;0,G34/E34,0))/MAX(1,Deneyler!F34))</f>
        <v>2.836666666666666</v>
      </c>
      <c r="S34" s="22">
        <f>IF(D34="kaldi","",-R34+34/1000000000)</f>
        <v>-2.836666632666666</v>
      </c>
      <c r="T34" s="5">
        <f>IF(D34="kaldi","",1+COUNTIF($S$5:$S$136,"&lt;"&amp;S34))</f>
        <v>6</v>
      </c>
    </row>
    <row r="35">
      <c r="A35" s="7" t="str">
        <f>Secenekler!A35</f>
        <v>qral-a</v>
      </c>
      <c r="B35" s="7" t="str">
        <f>Secenekler!C35</f>
        <v>Pro lisansı: bilgi çalışanı ve yapay zekâ kullanıcısı</v>
      </c>
      <c r="C35" s="7" t="str">
        <f>Secenekler!B35</f>
        <v>qral (hızlı başvuru bağlantıları Chrome uzantısı)</v>
      </c>
      <c r="D35" s="7" t="str">
        <f>Kapilar!K35</f>
        <v>test</v>
      </c>
      <c r="E35" s="8">
        <f>SUMPRODUCT(Puanlar!$C$3:$AB$3,Puanlar!C35:AB35)/5</f>
        <v>47</v>
      </c>
      <c r="F35" s="8">
        <f>SUMIF(Puanlar!C35:AB35,"&gt;=0",Puanlar!$C$3:$AB$3)</f>
        <v>100</v>
      </c>
      <c r="G35" s="8">
        <f>SUMPRODUCT(Puanlar!$C$3:$AB$3,Puanlar!C35:AB35,Guven!C35:AB35)/5</f>
        <v>18.18</v>
      </c>
      <c r="H35" s="9">
        <f>SUMPRODUCT(Puanlar!$C$3:$AB$3,Kanit!C35:AB35)/SUM(Puanlar!$C$3:$AB$3)</f>
        <v>0.42</v>
      </c>
      <c r="I35" s="8">
        <f>SUMPRODUCT(Puanlar!$AD$3:$AG$3,Puanlar!AD35:AG35)/5</f>
        <v>50</v>
      </c>
      <c r="J35" s="10">
        <f>Finans!AB35</f>
        <v>-4872</v>
      </c>
      <c r="K35" s="5">
        <f>Kanit!H35</f>
        <v>1</v>
      </c>
      <c r="L35" s="5">
        <f>IF(E35&gt;=Hedef!$C$10,1,0)</f>
        <v>1</v>
      </c>
      <c r="M35" s="5">
        <f>IF(AND(J35&gt;=Hedef!$C$5*Hedef!$C$11,Finans!AE35&lt;=Hedef!$C$14),1,0)</f>
        <v>0</v>
      </c>
      <c r="N35" s="7" t="str">
        <f>IF(D35="kaldi","Kapıda kaldı",IF(AND(D35="gecti",L35=1,K35&gt;=Hedef!$C$13,J35&gt;=Hedef!$C$5),"Yatırım yap",IF(AND(L35=1,M35=1),"Önce test et",IF(OR(L35=1,M35=1),"Değiştir",IF(I35&gt;=Hedef!$C$12,"Beklet","Bırak")))))</f>
        <v>Değiştir</v>
      </c>
      <c r="O35" s="5">
        <f>IF(N35="Yatırım yap",0,IF(N35="Önce test et",1,IF(N35="Değiştir",2,IF(N35="Beklet",3,IF(N35="Bırak",4,9)))))</f>
        <v>2</v>
      </c>
      <c r="P35" s="22">
        <f>IF(D35="kaldi","",O35*1000-G35+35/1000000000)</f>
        <v>1981.820000035</v>
      </c>
      <c r="Q35" s="5">
        <f>IF(D35="kaldi","",1+COUNTIF($P$5:$P$136,"&lt;"&amp;P35))</f>
        <v>51</v>
      </c>
      <c r="R35" s="23">
        <f>IF(D35="kaldi","",E35*(1-IF(E35&gt;0,G35/E35,0))/MAX(1,Deneyler!F35))</f>
        <v>1.441</v>
      </c>
      <c r="S35" s="22">
        <f>IF(D35="kaldi","",-R35+35/1000000000)</f>
        <v>-1.440999965</v>
      </c>
      <c r="T35" s="5">
        <f>IF(D35="kaldi","",1+COUNTIF($S$5:$S$136,"&lt;"&amp;S35))</f>
        <v>41</v>
      </c>
    </row>
    <row r="36">
      <c r="A36" s="7" t="str">
        <f>Secenekler!A36</f>
        <v>qral-b</v>
      </c>
      <c r="B36" s="7" t="str">
        <f>Secenekler!C36</f>
        <v>Sınıf Paketi: öğretmen ve okul için QR sayfası</v>
      </c>
      <c r="C36" s="7" t="str">
        <f>Secenekler!B36</f>
        <v>qral (hızlı başvuru bağlantıları Chrome uzantısı)</v>
      </c>
      <c r="D36" s="7" t="str">
        <f>Kapilar!K36</f>
        <v>test</v>
      </c>
      <c r="E36" s="8">
        <f>SUMPRODUCT(Puanlar!$C$3:$AB$3,Puanlar!C36:AB36)/5</f>
        <v>46.6</v>
      </c>
      <c r="F36" s="8">
        <f>SUMIF(Puanlar!C36:AB36,"&gt;=0",Puanlar!$C$3:$AB$3)</f>
        <v>100</v>
      </c>
      <c r="G36" s="8">
        <f>SUMPRODUCT(Puanlar!$C$3:$AB$3,Puanlar!C36:AB36,Guven!C36:AB36)/5</f>
        <v>15.34</v>
      </c>
      <c r="H36" s="9">
        <f>SUMPRODUCT(Puanlar!$C$3:$AB$3,Kanit!C36:AB36)/SUM(Puanlar!$C$3:$AB$3)</f>
        <v>0.12</v>
      </c>
      <c r="I36" s="8">
        <f>SUMPRODUCT(Puanlar!$AD$3:$AG$3,Puanlar!AD36:AG36)/5</f>
        <v>50</v>
      </c>
      <c r="J36" s="10">
        <f>Finans!AB36</f>
        <v>-4753</v>
      </c>
      <c r="K36" s="5">
        <f>Kanit!H36</f>
        <v>0</v>
      </c>
      <c r="L36" s="5">
        <f>IF(E36&gt;=Hedef!$C$10,1,0)</f>
        <v>1</v>
      </c>
      <c r="M36" s="5">
        <f>IF(AND(J36&gt;=Hedef!$C$5*Hedef!$C$11,Finans!AE36&lt;=Hedef!$C$14),1,0)</f>
        <v>0</v>
      </c>
      <c r="N36" s="7" t="str">
        <f>IF(D36="kaldi","Kapıda kaldı",IF(AND(D36="gecti",L36=1,K36&gt;=Hedef!$C$13,J36&gt;=Hedef!$C$5),"Yatırım yap",IF(AND(L36=1,M36=1),"Önce test et",IF(OR(L36=1,M36=1),"Değiştir",IF(I36&gt;=Hedef!$C$12,"Beklet","Bırak")))))</f>
        <v>Değiştir</v>
      </c>
      <c r="O36" s="5">
        <f>IF(N36="Yatırım yap",0,IF(N36="Önce test et",1,IF(N36="Değiştir",2,IF(N36="Beklet",3,IF(N36="Bırak",4,9)))))</f>
        <v>2</v>
      </c>
      <c r="P36" s="22">
        <f>IF(D36="kaldi","",O36*1000-G36+36/1000000000)</f>
        <v>1984.660000036</v>
      </c>
      <c r="Q36" s="5">
        <f>IF(D36="kaldi","",1+COUNTIF($P$5:$P$136,"&lt;"&amp;P36))</f>
        <v>82</v>
      </c>
      <c r="R36" s="23">
        <f>IF(D36="kaldi","",E36*(1-IF(E36&gt;0,G36/E36,0))/MAX(1,Deneyler!F36))</f>
        <v>2.605</v>
      </c>
      <c r="S36" s="22">
        <f>IF(D36="kaldi","",-R36+36/1000000000)</f>
        <v>-2.604999964000001</v>
      </c>
      <c r="T36" s="5">
        <f>IF(D36="kaldi","",1+COUNTIF($S$5:$S$136,"&lt;"&amp;S36))</f>
        <v>12</v>
      </c>
    </row>
    <row r="37">
      <c r="A37" s="7" t="str">
        <f>Secenekler!A37</f>
        <v>qral-c</v>
      </c>
      <c r="B37" s="7" t="str">
        <f>Secenekler!C37</f>
        <v>Araştırma ekibi için kaynak dışa aktarma şablon paketi</v>
      </c>
      <c r="C37" s="7" t="str">
        <f>Secenekler!B37</f>
        <v>qral (hızlı başvuru bağlantıları Chrome uzantısı)</v>
      </c>
      <c r="D37" s="7" t="str">
        <f>Kapilar!K37</f>
        <v>test</v>
      </c>
      <c r="E37" s="8">
        <f>SUMPRODUCT(Puanlar!$C$3:$AB$3,Puanlar!C37:AB37)/5</f>
        <v>46</v>
      </c>
      <c r="F37" s="8">
        <f>SUMIF(Puanlar!C37:AB37,"&gt;=0",Puanlar!$C$3:$AB$3)</f>
        <v>100</v>
      </c>
      <c r="G37" s="8">
        <f>SUMPRODUCT(Puanlar!$C$3:$AB$3,Puanlar!C37:AB37,Guven!C37:AB37)/5</f>
        <v>14.32</v>
      </c>
      <c r="H37" s="9">
        <f>SUMPRODUCT(Puanlar!$C$3:$AB$3,Kanit!C37:AB37)/SUM(Puanlar!$C$3:$AB$3)</f>
        <v>0.07</v>
      </c>
      <c r="I37" s="8">
        <f>SUMPRODUCT(Puanlar!$AD$3:$AG$3,Puanlar!AD37:AG37)/5</f>
        <v>35</v>
      </c>
      <c r="J37" s="10">
        <f>Finans!AB37</f>
        <v>-500</v>
      </c>
      <c r="K37" s="5">
        <f>Kanit!H37</f>
        <v>0</v>
      </c>
      <c r="L37" s="5">
        <f>IF(E37&gt;=Hedef!$C$10,1,0)</f>
        <v>1</v>
      </c>
      <c r="M37" s="5">
        <f>IF(AND(J37&gt;=Hedef!$C$5*Hedef!$C$11,Finans!AE37&lt;=Hedef!$C$14),1,0)</f>
        <v>0</v>
      </c>
      <c r="N37" s="7" t="str">
        <f>IF(D37="kaldi","Kapıda kaldı",IF(AND(D37="gecti",L37=1,K37&gt;=Hedef!$C$13,J37&gt;=Hedef!$C$5),"Yatırım yap",IF(AND(L37=1,M37=1),"Önce test et",IF(OR(L37=1,M37=1),"Değiştir",IF(I37&gt;=Hedef!$C$12,"Beklet","Bırak")))))</f>
        <v>Değiştir</v>
      </c>
      <c r="O37" s="5">
        <f>IF(N37="Yatırım yap",0,IF(N37="Önce test et",1,IF(N37="Değiştir",2,IF(N37="Beklet",3,IF(N37="Bırak",4,9)))))</f>
        <v>2</v>
      </c>
      <c r="P37" s="22">
        <f>IF(D37="kaldi","",O37*1000-G37+37/1000000000)</f>
        <v>1985.680000037</v>
      </c>
      <c r="Q37" s="5">
        <f>IF(D37="kaldi","",1+COUNTIF($P$5:$P$136,"&lt;"&amp;P37))</f>
        <v>91</v>
      </c>
      <c r="R37" s="23">
        <f>IF(D37="kaldi","",E37*(1-IF(E37&gt;0,G37/E37,0))/MAX(1,Deneyler!F37))</f>
        <v>1.98</v>
      </c>
      <c r="S37" s="22">
        <f>IF(D37="kaldi","",-R37+37/1000000000)</f>
        <v>-1.979999963</v>
      </c>
      <c r="T37" s="5">
        <f>IF(D37="kaldi","",1+COUNTIF($S$5:$S$136,"&lt;"&amp;S37))</f>
        <v>24</v>
      </c>
    </row>
    <row r="38">
      <c r="A38" s="7" t="str">
        <f>Secenekler!A38</f>
        <v>frontend-atlasi-a</v>
      </c>
      <c r="B38" s="7" t="str">
        <f>Secenekler!C38</f>
        <v>Eğitmen lisansı ve AI ile Eğitim Sitesi Kiti</v>
      </c>
      <c r="C38" s="7" t="str">
        <f>Secenekler!B38</f>
        <v>Frontend Atlası (eğitim içeriği)</v>
      </c>
      <c r="D38" s="7" t="str">
        <f>Kapilar!K38</f>
        <v>test</v>
      </c>
      <c r="E38" s="8">
        <f>SUMPRODUCT(Puanlar!$C$3:$AB$3,Puanlar!C38:AB38)/5</f>
        <v>52</v>
      </c>
      <c r="F38" s="8">
        <f>SUMIF(Puanlar!C38:AB38,"&gt;=0",Puanlar!$C$3:$AB$3)</f>
        <v>100</v>
      </c>
      <c r="G38" s="8">
        <f>SUMPRODUCT(Puanlar!$C$3:$AB$3,Puanlar!C38:AB38,Guven!C38:AB38)/5</f>
        <v>18.04</v>
      </c>
      <c r="H38" s="9">
        <f>SUMPRODUCT(Puanlar!$C$3:$AB$3,Kanit!C38:AB38)/SUM(Puanlar!$C$3:$AB$3)</f>
        <v>0.28</v>
      </c>
      <c r="I38" s="8">
        <f>SUMPRODUCT(Puanlar!$AD$3:$AG$3,Puanlar!AD38:AG38)/5</f>
        <v>45</v>
      </c>
      <c r="J38" s="10">
        <f>Finans!AB38</f>
        <v>-18694</v>
      </c>
      <c r="K38" s="5">
        <f>Kanit!H38</f>
        <v>1</v>
      </c>
      <c r="L38" s="5">
        <f>IF(E38&gt;=Hedef!$C$10,1,0)</f>
        <v>1</v>
      </c>
      <c r="M38" s="5">
        <f>IF(AND(J38&gt;=Hedef!$C$5*Hedef!$C$11,Finans!AE38&lt;=Hedef!$C$14),1,0)</f>
        <v>0</v>
      </c>
      <c r="N38" s="7" t="str">
        <f>IF(D38="kaldi","Kapıda kaldı",IF(AND(D38="gecti",L38=1,K38&gt;=Hedef!$C$13,J38&gt;=Hedef!$C$5),"Yatırım yap",IF(AND(L38=1,M38=1),"Önce test et",IF(OR(L38=1,M38=1),"Değiştir",IF(I38&gt;=Hedef!$C$12,"Beklet","Bırak")))))</f>
        <v>Değiştir</v>
      </c>
      <c r="O38" s="5">
        <f>IF(N38="Yatırım yap",0,IF(N38="Önce test et",1,IF(N38="Değiştir",2,IF(N38="Beklet",3,IF(N38="Bırak",4,9)))))</f>
        <v>2</v>
      </c>
      <c r="P38" s="22">
        <f>IF(D38="kaldi","",O38*1000-G38+38/1000000000)</f>
        <v>1981.960000038</v>
      </c>
      <c r="Q38" s="5">
        <f>IF(D38="kaldi","",1+COUNTIF($P$5:$P$136,"&lt;"&amp;P38))</f>
        <v>54</v>
      </c>
      <c r="R38" s="23">
        <f>IF(D38="kaldi","",E38*(1-IF(E38&gt;0,G38/E38,0))/MAX(1,Deneyler!F38))</f>
        <v>1.132</v>
      </c>
      <c r="S38" s="22">
        <f>IF(D38="kaldi","",-R38+38/1000000000)</f>
        <v>-1.131999962</v>
      </c>
      <c r="T38" s="5">
        <f>IF(D38="kaldi","",1+COUNTIF($S$5:$S$136,"&lt;"&amp;S38))</f>
        <v>61</v>
      </c>
    </row>
    <row r="39">
      <c r="A39" s="7" t="str">
        <f>Secenekler!A39</f>
        <v>frontend-atlasi-b</v>
      </c>
      <c r="B39" s="7" t="str">
        <f>Secenekler!C39</f>
        <v>Laboratuvar alıştırma paketi (öğrenenlere, arama ile)</v>
      </c>
      <c r="C39" s="7" t="str">
        <f>Secenekler!B39</f>
        <v>Frontend Atlası (eğitim içeriği)</v>
      </c>
      <c r="D39" s="7" t="str">
        <f>Kapilar!K39</f>
        <v>test</v>
      </c>
      <c r="E39" s="8">
        <f>SUMPRODUCT(Puanlar!$C$3:$AB$3,Puanlar!C39:AB39)/5</f>
        <v>56.4</v>
      </c>
      <c r="F39" s="8">
        <f>SUMIF(Puanlar!C39:AB39,"&gt;=0",Puanlar!$C$3:$AB$3)</f>
        <v>100</v>
      </c>
      <c r="G39" s="8">
        <f>SUMPRODUCT(Puanlar!$C$3:$AB$3,Puanlar!C39:AB39,Guven!C39:AB39)/5</f>
        <v>19.44</v>
      </c>
      <c r="H39" s="9">
        <f>SUMPRODUCT(Puanlar!$C$3:$AB$3,Kanit!C39:AB39)/SUM(Puanlar!$C$3:$AB$3)</f>
        <v>0.31</v>
      </c>
      <c r="I39" s="8">
        <f>SUMPRODUCT(Puanlar!$AD$3:$AG$3,Puanlar!AD39:AG39)/5</f>
        <v>60</v>
      </c>
      <c r="J39" s="10">
        <f>Finans!AB39</f>
        <v>-7784</v>
      </c>
      <c r="K39" s="5">
        <f>Kanit!H39</f>
        <v>1</v>
      </c>
      <c r="L39" s="5">
        <f>IF(E39&gt;=Hedef!$C$10,1,0)</f>
        <v>1</v>
      </c>
      <c r="M39" s="5">
        <f>IF(AND(J39&gt;=Hedef!$C$5*Hedef!$C$11,Finans!AE39&lt;=Hedef!$C$14),1,0)</f>
        <v>0</v>
      </c>
      <c r="N39" s="7" t="str">
        <f>IF(D39="kaldi","Kapıda kaldı",IF(AND(D39="gecti",L39=1,K39&gt;=Hedef!$C$13,J39&gt;=Hedef!$C$5),"Yatırım yap",IF(AND(L39=1,M39=1),"Önce test et",IF(OR(L39=1,M39=1),"Değiştir",IF(I39&gt;=Hedef!$C$12,"Beklet","Bırak")))))</f>
        <v>Değiştir</v>
      </c>
      <c r="O39" s="5">
        <f>IF(N39="Yatırım yap",0,IF(N39="Önce test et",1,IF(N39="Değiştir",2,IF(N39="Beklet",3,IF(N39="Bırak",4,9)))))</f>
        <v>2</v>
      </c>
      <c r="P39" s="22">
        <f>IF(D39="kaldi","",O39*1000-G39+39/1000000000)</f>
        <v>1980.560000039</v>
      </c>
      <c r="Q39" s="5">
        <f>IF(D39="kaldi","",1+COUNTIF($P$5:$P$136,"&lt;"&amp;P39))</f>
        <v>37</v>
      </c>
      <c r="R39" s="23">
        <f>IF(D39="kaldi","",E39*(1-IF(E39&gt;0,G39/E39,0))/MAX(1,Deneyler!F39))</f>
        <v>0.924</v>
      </c>
      <c r="S39" s="22">
        <f>IF(D39="kaldi","",-R39+39/1000000000)</f>
        <v>-0.923999961</v>
      </c>
      <c r="T39" s="5">
        <f>IF(D39="kaldi","",1+COUNTIF($S$5:$S$136,"&lt;"&amp;S39))</f>
        <v>70</v>
      </c>
    </row>
    <row r="40">
      <c r="A40" s="7" t="str">
        <f>Secenekler!A40</f>
        <v>frontend-atlasi-c</v>
      </c>
      <c r="B40" s="7" t="str">
        <f>Secenekler!C40</f>
        <v>Eğitmene sabit kapsamlı ders ve laboratuvar üretimi</v>
      </c>
      <c r="C40" s="7" t="str">
        <f>Secenekler!B40</f>
        <v>Frontend Atlası (eğitim içeriği)</v>
      </c>
      <c r="D40" s="7" t="str">
        <f>Kapilar!K40</f>
        <v>test</v>
      </c>
      <c r="E40" s="8">
        <f>SUMPRODUCT(Puanlar!$C$3:$AB$3,Puanlar!C40:AB40)/5</f>
        <v>50.8</v>
      </c>
      <c r="F40" s="8">
        <f>SUMIF(Puanlar!C40:AB40,"&gt;=0",Puanlar!$C$3:$AB$3)</f>
        <v>100</v>
      </c>
      <c r="G40" s="8">
        <f>SUMPRODUCT(Puanlar!$C$3:$AB$3,Puanlar!C40:AB40,Guven!C40:AB40)/5</f>
        <v>16.64</v>
      </c>
      <c r="H40" s="9">
        <f>SUMPRODUCT(Puanlar!$C$3:$AB$3,Kanit!C40:AB40)/SUM(Puanlar!$C$3:$AB$3)</f>
        <v>0.13</v>
      </c>
      <c r="I40" s="8">
        <f>SUMPRODUCT(Puanlar!$AD$3:$AG$3,Puanlar!AD40:AG40)/5</f>
        <v>35</v>
      </c>
      <c r="J40" s="10">
        <f>Finans!AB40</f>
        <v>800</v>
      </c>
      <c r="K40" s="5">
        <f>Kanit!H40</f>
        <v>0</v>
      </c>
      <c r="L40" s="5">
        <f>IF(E40&gt;=Hedef!$C$10,1,0)</f>
        <v>1</v>
      </c>
      <c r="M40" s="5">
        <f>IF(AND(J40&gt;=Hedef!$C$5*Hedef!$C$11,Finans!AE40&lt;=Hedef!$C$14),1,0)</f>
        <v>0</v>
      </c>
      <c r="N40" s="7" t="str">
        <f>IF(D40="kaldi","Kapıda kaldı",IF(AND(D40="gecti",L40=1,K40&gt;=Hedef!$C$13,J40&gt;=Hedef!$C$5),"Yatırım yap",IF(AND(L40=1,M40=1),"Önce test et",IF(OR(L40=1,M40=1),"Değiştir",IF(I40&gt;=Hedef!$C$12,"Beklet","Bırak")))))</f>
        <v>Değiştir</v>
      </c>
      <c r="O40" s="5">
        <f>IF(N40="Yatırım yap",0,IF(N40="Önce test et",1,IF(N40="Değiştir",2,IF(N40="Beklet",3,IF(N40="Bırak",4,9)))))</f>
        <v>2</v>
      </c>
      <c r="P40" s="22">
        <f>IF(D40="kaldi","",O40*1000-G40+40/1000000000)</f>
        <v>1983.36000004</v>
      </c>
      <c r="Q40" s="5">
        <f>IF(D40="kaldi","",1+COUNTIF($P$5:$P$136,"&lt;"&amp;P40))</f>
        <v>66</v>
      </c>
      <c r="R40" s="23">
        <f>IF(D40="kaldi","",E40*(1-IF(E40&gt;0,G40/E40,0))/MAX(1,Deneyler!F40))</f>
        <v>1.708</v>
      </c>
      <c r="S40" s="22">
        <f>IF(D40="kaldi","",-R40+40/1000000000)</f>
        <v>-1.70799996</v>
      </c>
      <c r="T40" s="5">
        <f>IF(D40="kaldi","",1+COUNTIF($S$5:$S$136,"&lt;"&amp;S40))</f>
        <v>30</v>
      </c>
    </row>
    <row r="41">
      <c r="A41" s="7" t="str">
        <f>Secenekler!A41</f>
        <v>karar-kitabi-a</v>
      </c>
      <c r="B41" s="7" t="str">
        <f>Secenekler!C41</f>
        <v>Yarım günlük kurumsal karar atölyesi</v>
      </c>
      <c r="C41" s="7" t="str">
        <f>Secenekler!B41</f>
        <v>Karar Kitabı / Yöntem Atlası</v>
      </c>
      <c r="D41" s="7" t="str">
        <f>Kapilar!K41</f>
        <v>test</v>
      </c>
      <c r="E41" s="8">
        <f>SUMPRODUCT(Puanlar!$C$3:$AB$3,Puanlar!C41:AB41)/5</f>
        <v>46</v>
      </c>
      <c r="F41" s="8">
        <f>SUMIF(Puanlar!C41:AB41,"&gt;=0",Puanlar!$C$3:$AB$3)</f>
        <v>100</v>
      </c>
      <c r="G41" s="8">
        <f>SUMPRODUCT(Puanlar!$C$3:$AB$3,Puanlar!C41:AB41,Guven!C41:AB41)/5</f>
        <v>16.28</v>
      </c>
      <c r="H41" s="9">
        <f>SUMPRODUCT(Puanlar!$C$3:$AB$3,Kanit!C41:AB41)/SUM(Puanlar!$C$3:$AB$3)</f>
        <v>0.28</v>
      </c>
      <c r="I41" s="8">
        <f>SUMPRODUCT(Puanlar!$AD$3:$AG$3,Puanlar!AD41:AG41)/5</f>
        <v>35</v>
      </c>
      <c r="J41" s="10">
        <f>Finans!AB41</f>
        <v>-14700</v>
      </c>
      <c r="K41" s="5">
        <f>Kanit!H41</f>
        <v>1</v>
      </c>
      <c r="L41" s="5">
        <f>IF(E41&gt;=Hedef!$C$10,1,0)</f>
        <v>1</v>
      </c>
      <c r="M41" s="5">
        <f>IF(AND(J41&gt;=Hedef!$C$5*Hedef!$C$11,Finans!AE41&lt;=Hedef!$C$14),1,0)</f>
        <v>0</v>
      </c>
      <c r="N41" s="7" t="str">
        <f>IF(D41="kaldi","Kapıda kaldı",IF(AND(D41="gecti",L41=1,K41&gt;=Hedef!$C$13,J41&gt;=Hedef!$C$5),"Yatırım yap",IF(AND(L41=1,M41=1),"Önce test et",IF(OR(L41=1,M41=1),"Değiştir",IF(I41&gt;=Hedef!$C$12,"Beklet","Bırak")))))</f>
        <v>Değiştir</v>
      </c>
      <c r="O41" s="5">
        <f>IF(N41="Yatırım yap",0,IF(N41="Önce test et",1,IF(N41="Değiştir",2,IF(N41="Beklet",3,IF(N41="Bırak",4,9)))))</f>
        <v>2</v>
      </c>
      <c r="P41" s="22">
        <f>IF(D41="kaldi","",O41*1000-G41+41/1000000000)</f>
        <v>1983.720000041</v>
      </c>
      <c r="Q41" s="5">
        <f>IF(D41="kaldi","",1+COUNTIF($P$5:$P$136,"&lt;"&amp;P41))</f>
        <v>73</v>
      </c>
      <c r="R41" s="23">
        <f>IF(D41="kaldi","",E41*(1-IF(E41&gt;0,G41/E41,0))/MAX(1,Deneyler!F41))</f>
        <v>1.1888</v>
      </c>
      <c r="S41" s="22">
        <f>IF(D41="kaldi","",-R41+41/1000000000)</f>
        <v>-1.188799959</v>
      </c>
      <c r="T41" s="5">
        <f>IF(D41="kaldi","",1+COUNTIF($S$5:$S$136,"&lt;"&amp;S41))</f>
        <v>55</v>
      </c>
    </row>
    <row r="42">
      <c r="A42" s="7" t="str">
        <f>Secenekler!A42</f>
        <v>karar-kitabi-b</v>
      </c>
      <c r="B42" s="7" t="str">
        <f>Secenekler!C42</f>
        <v>Tema çalışma kâğıdı paketleri ve tam set</v>
      </c>
      <c r="C42" s="7" t="str">
        <f>Secenekler!B42</f>
        <v>Karar Kitabı / Yöntem Atlası</v>
      </c>
      <c r="D42" s="7" t="str">
        <f>Kapilar!K42</f>
        <v>kaldi</v>
      </c>
      <c r="E42" s="8">
        <f>SUMPRODUCT(Puanlar!$C$3:$AB$3,Puanlar!C42:AB42)/5</f>
        <v>54.2</v>
      </c>
      <c r="F42" s="8">
        <f>SUMIF(Puanlar!C42:AB42,"&gt;=0",Puanlar!$C$3:$AB$3)</f>
        <v>100</v>
      </c>
      <c r="G42" s="8">
        <f>SUMPRODUCT(Puanlar!$C$3:$AB$3,Puanlar!C42:AB42,Guven!C42:AB42)/5</f>
        <v>18.66</v>
      </c>
      <c r="H42" s="9">
        <f>SUMPRODUCT(Puanlar!$C$3:$AB$3,Kanit!C42:AB42)/SUM(Puanlar!$C$3:$AB$3)</f>
        <v>0.25</v>
      </c>
      <c r="I42" s="8">
        <f>SUMPRODUCT(Puanlar!$AD$3:$AG$3,Puanlar!AD42:AG42)/5</f>
        <v>55</v>
      </c>
      <c r="J42" s="10">
        <f>Finans!AB42</f>
        <v>-24424</v>
      </c>
      <c r="K42" s="5">
        <f>Kanit!H42</f>
        <v>1</v>
      </c>
      <c r="L42" s="5">
        <f>IF(E42&gt;=Hedef!$C$10,1,0)</f>
        <v>1</v>
      </c>
      <c r="M42" s="5">
        <f>IF(AND(J42&gt;=Hedef!$C$5*Hedef!$C$11,Finans!AE42&lt;=Hedef!$C$14),1,0)</f>
        <v>0</v>
      </c>
      <c r="N42" s="7" t="str">
        <f>IF(D42="kaldi","Kapıda kaldı",IF(AND(D42="gecti",L42=1,K42&gt;=Hedef!$C$13,J42&gt;=Hedef!$C$5),"Yatırım yap",IF(AND(L42=1,M42=1),"Önce test et",IF(OR(L42=1,M42=1),"Değiştir",IF(I42&gt;=Hedef!$C$12,"Beklet","Bırak")))))</f>
        <v>Kapıda kaldı</v>
      </c>
      <c r="O42" s="5">
        <f>IF(N42="Yatırım yap",0,IF(N42="Önce test et",1,IF(N42="Değiştir",2,IF(N42="Beklet",3,IF(N42="Bırak",4,9)))))</f>
        <v>9</v>
      </c>
      <c r="P42" s="22" t="str">
        <f>IF(D42="kaldi","",O42*1000-G42+42/1000000000)</f>
        <v/>
      </c>
      <c r="Q42" s="5" t="str">
        <f>IF(D42="kaldi","",1+COUNTIF($P$5:$P$136,"&lt;"&amp;P42))</f>
        <v/>
      </c>
      <c r="R42" s="23" t="str">
        <f>IF(D42="kaldi","",E42*(1-IF(E42&gt;0,G42/E42,0))/MAX(1,Deneyler!F42))</f>
        <v/>
      </c>
      <c r="S42" s="22" t="str">
        <f>IF(D42="kaldi","",-R42+42/1000000000)</f>
        <v/>
      </c>
      <c r="T42" s="5" t="str">
        <f>IF(D42="kaldi","",1+COUNTIF($S$5:$S$136,"&lt;"&amp;S42))</f>
        <v/>
      </c>
    </row>
    <row r="43">
      <c r="A43" s="7" t="str">
        <f>Secenekler!A43</f>
        <v>karar-kitabi-c</v>
      </c>
      <c r="B43" s="7" t="str">
        <f>Secenekler!C43</f>
        <v>Facilitatör için özgün karar memosu kiti</v>
      </c>
      <c r="C43" s="7" t="str">
        <f>Secenekler!B43</f>
        <v>Karar Kitabı / Yöntem Atlası</v>
      </c>
      <c r="D43" s="7" t="str">
        <f>Kapilar!K43</f>
        <v>test</v>
      </c>
      <c r="E43" s="8">
        <f>SUMPRODUCT(Puanlar!$C$3:$AB$3,Puanlar!C43:AB43)/5</f>
        <v>42.6</v>
      </c>
      <c r="F43" s="8">
        <f>SUMIF(Puanlar!C43:AB43,"&gt;=0",Puanlar!$C$3:$AB$3)</f>
        <v>100</v>
      </c>
      <c r="G43" s="8">
        <f>SUMPRODUCT(Puanlar!$C$3:$AB$3,Puanlar!C43:AB43,Guven!C43:AB43)/5</f>
        <v>13.26</v>
      </c>
      <c r="H43" s="9">
        <f>SUMPRODUCT(Puanlar!$C$3:$AB$3,Kanit!C43:AB43)/SUM(Puanlar!$C$3:$AB$3)</f>
        <v>0.06</v>
      </c>
      <c r="I43" s="8">
        <f>SUMPRODUCT(Puanlar!$AD$3:$AG$3,Puanlar!AD43:AG43)/5</f>
        <v>40</v>
      </c>
      <c r="J43" s="10">
        <f>Finans!AB43</f>
        <v>-9034</v>
      </c>
      <c r="K43" s="5">
        <f>Kanit!H43</f>
        <v>1</v>
      </c>
      <c r="L43" s="5">
        <f>IF(E43&gt;=Hedef!$C$10,1,0)</f>
        <v>0</v>
      </c>
      <c r="M43" s="5">
        <f>IF(AND(J43&gt;=Hedef!$C$5*Hedef!$C$11,Finans!AE43&lt;=Hedef!$C$14),1,0)</f>
        <v>0</v>
      </c>
      <c r="N43" s="7" t="str">
        <f>IF(D43="kaldi","Kapıda kaldı",IF(AND(D43="gecti",L43=1,K43&gt;=Hedef!$C$13,J43&gt;=Hedef!$C$5),"Yatırım yap",IF(AND(L43=1,M43=1),"Önce test et",IF(OR(L43=1,M43=1),"Değiştir",IF(I43&gt;=Hedef!$C$12,"Beklet","Bırak")))))</f>
        <v>Bırak</v>
      </c>
      <c r="O43" s="5">
        <f>IF(N43="Yatırım yap",0,IF(N43="Önce test et",1,IF(N43="Değiştir",2,IF(N43="Beklet",3,IF(N43="Bırak",4,9)))))</f>
        <v>4</v>
      </c>
      <c r="P43" s="22">
        <f>IF(D43="kaldi","",O43*1000-G43+43/1000000000)</f>
        <v>3986.740000043</v>
      </c>
      <c r="Q43" s="5">
        <f>IF(D43="kaldi","",1+COUNTIF($P$5:$P$136,"&lt;"&amp;P43))</f>
        <v>105</v>
      </c>
      <c r="R43" s="23">
        <f>IF(D43="kaldi","",E43*(1-IF(E43&gt;0,G43/E43,0))/MAX(1,Deneyler!F43))</f>
        <v>1.1736</v>
      </c>
      <c r="S43" s="22">
        <f>IF(D43="kaldi","",-R43+43/1000000000)</f>
        <v>-1.173599957</v>
      </c>
      <c r="T43" s="5">
        <f>IF(D43="kaldi","",1+COUNTIF($S$5:$S$136,"&lt;"&amp;S43))</f>
        <v>57</v>
      </c>
    </row>
    <row r="44">
      <c r="A44" s="7" t="str">
        <f>Secenekler!A44</f>
        <v>kurucu-sunum-hizmeti-a</v>
      </c>
      <c r="B44" s="7" t="str">
        <f>Secenekler!C44</f>
        <v>Hibe ve yatırım sunum paketi: site, canlı model, doğrulama</v>
      </c>
      <c r="C44" s="7" t="str">
        <f>Secenekler!B44</f>
        <v>Kurucu sunumu ve canlı finans modeli hizmeti</v>
      </c>
      <c r="D44" s="7" t="str">
        <f>Kapilar!K44</f>
        <v>test</v>
      </c>
      <c r="E44" s="8">
        <f>SUMPRODUCT(Puanlar!$C$3:$AB$3,Puanlar!C44:AB44)/5</f>
        <v>55.4</v>
      </c>
      <c r="F44" s="8">
        <f>SUMIF(Puanlar!C44:AB44,"&gt;=0",Puanlar!$C$3:$AB$3)</f>
        <v>100</v>
      </c>
      <c r="G44" s="8">
        <f>SUMPRODUCT(Puanlar!$C$3:$AB$3,Puanlar!C44:AB44,Guven!C44:AB44)/5</f>
        <v>20.82</v>
      </c>
      <c r="H44" s="9">
        <f>SUMPRODUCT(Puanlar!$C$3:$AB$3,Kanit!C44:AB44)/SUM(Puanlar!$C$3:$AB$3)</f>
        <v>0.37</v>
      </c>
      <c r="I44" s="8">
        <f>SUMPRODUCT(Puanlar!$AD$3:$AG$3,Puanlar!AD44:AG44)/5</f>
        <v>55</v>
      </c>
      <c r="J44" s="10">
        <f>Finans!AB44</f>
        <v>2650</v>
      </c>
      <c r="K44" s="5">
        <f>Kanit!H44</f>
        <v>1</v>
      </c>
      <c r="L44" s="5">
        <f>IF(E44&gt;=Hedef!$C$10,1,0)</f>
        <v>1</v>
      </c>
      <c r="M44" s="5">
        <f>IF(AND(J44&gt;=Hedef!$C$5*Hedef!$C$11,Finans!AE44&lt;=Hedef!$C$14),1,0)</f>
        <v>0</v>
      </c>
      <c r="N44" s="7" t="str">
        <f>IF(D44="kaldi","Kapıda kaldı",IF(AND(D44="gecti",L44=1,K44&gt;=Hedef!$C$13,J44&gt;=Hedef!$C$5),"Yatırım yap",IF(AND(L44=1,M44=1),"Önce test et",IF(OR(L44=1,M44=1),"Değiştir",IF(I44&gt;=Hedef!$C$12,"Beklet","Bırak")))))</f>
        <v>Değiştir</v>
      </c>
      <c r="O44" s="5">
        <f>IF(N44="Yatırım yap",0,IF(N44="Önce test et",1,IF(N44="Değiştir",2,IF(N44="Beklet",3,IF(N44="Bırak",4,9)))))</f>
        <v>2</v>
      </c>
      <c r="P44" s="22">
        <f>IF(D44="kaldi","",O44*1000-G44+44/1000000000)</f>
        <v>1979.180000044</v>
      </c>
      <c r="Q44" s="5">
        <f>IF(D44="kaldi","",1+COUNTIF($P$5:$P$136,"&lt;"&amp;P44))</f>
        <v>16</v>
      </c>
      <c r="R44" s="23">
        <f>IF(D44="kaldi","",E44*(1-IF(E44&gt;0,G44/E44,0))/MAX(1,Deneyler!F44))</f>
        <v>0.8644999999999999</v>
      </c>
      <c r="S44" s="22">
        <f>IF(D44="kaldi","",-R44+44/1000000000)</f>
        <v>-0.864499956</v>
      </c>
      <c r="T44" s="5">
        <f>IF(D44="kaldi","",1+COUNTIF($S$5:$S$136,"&lt;"&amp;S44))</f>
        <v>77</v>
      </c>
    </row>
    <row r="45">
      <c r="A45" s="7" t="str">
        <f>Secenekler!A45</f>
        <v>kurucu-sunum-hizmeti-b</v>
      </c>
      <c r="B45" s="7" t="str">
        <f>Secenekler!C45</f>
        <v>Rakam tutarlılığı denetimi: tek dosya, sabit fiyat</v>
      </c>
      <c r="C45" s="7" t="str">
        <f>Secenekler!B45</f>
        <v>Kurucu sunumu ve canlı finans modeli hizmeti</v>
      </c>
      <c r="D45" s="7" t="str">
        <f>Kapilar!K45</f>
        <v>test</v>
      </c>
      <c r="E45" s="8">
        <f>SUMPRODUCT(Puanlar!$C$3:$AB$3,Puanlar!C45:AB45)/5</f>
        <v>56.2</v>
      </c>
      <c r="F45" s="8">
        <f>SUMIF(Puanlar!C45:AB45,"&gt;=0",Puanlar!$C$3:$AB$3)</f>
        <v>100</v>
      </c>
      <c r="G45" s="8">
        <f>SUMPRODUCT(Puanlar!$C$3:$AB$3,Puanlar!C45:AB45,Guven!C45:AB45)/5</f>
        <v>20.42</v>
      </c>
      <c r="H45" s="9">
        <f>SUMPRODUCT(Puanlar!$C$3:$AB$3,Kanit!C45:AB45)/SUM(Puanlar!$C$3:$AB$3)</f>
        <v>0.34</v>
      </c>
      <c r="I45" s="8">
        <f>SUMPRODUCT(Puanlar!$AD$3:$AG$3,Puanlar!AD45:AG45)/5</f>
        <v>35</v>
      </c>
      <c r="J45" s="10">
        <f>Finans!AB45</f>
        <v>-8200</v>
      </c>
      <c r="K45" s="5">
        <f>Kanit!H45</f>
        <v>1</v>
      </c>
      <c r="L45" s="5">
        <f>IF(E45&gt;=Hedef!$C$10,1,0)</f>
        <v>1</v>
      </c>
      <c r="M45" s="5">
        <f>IF(AND(J45&gt;=Hedef!$C$5*Hedef!$C$11,Finans!AE45&lt;=Hedef!$C$14),1,0)</f>
        <v>0</v>
      </c>
      <c r="N45" s="7" t="str">
        <f>IF(D45="kaldi","Kapıda kaldı",IF(AND(D45="gecti",L45=1,K45&gt;=Hedef!$C$13,J45&gt;=Hedef!$C$5),"Yatırım yap",IF(AND(L45=1,M45=1),"Önce test et",IF(OR(L45=1,M45=1),"Değiştir",IF(I45&gt;=Hedef!$C$12,"Beklet","Bırak")))))</f>
        <v>Değiştir</v>
      </c>
      <c r="O45" s="5">
        <f>IF(N45="Yatırım yap",0,IF(N45="Önce test et",1,IF(N45="Değiştir",2,IF(N45="Beklet",3,IF(N45="Bırak",4,9)))))</f>
        <v>2</v>
      </c>
      <c r="P45" s="22">
        <f>IF(D45="kaldi","",O45*1000-G45+45/1000000000)</f>
        <v>1979.580000045</v>
      </c>
      <c r="Q45" s="5">
        <f>IF(D45="kaldi","",1+COUNTIF($P$5:$P$136,"&lt;"&amp;P45))</f>
        <v>22</v>
      </c>
      <c r="R45" s="23">
        <f>IF(D45="kaldi","",E45*(1-IF(E45&gt;0,G45/E45,0))/MAX(1,Deneyler!F45))</f>
        <v>1.789</v>
      </c>
      <c r="S45" s="22">
        <f>IF(D45="kaldi","",-R45+45/1000000000)</f>
        <v>-1.788999955</v>
      </c>
      <c r="T45" s="5">
        <f>IF(D45="kaldi","",1+COUNTIF($S$5:$S$136,"&lt;"&amp;S45))</f>
        <v>29</v>
      </c>
    </row>
    <row r="46">
      <c r="A46" s="7" t="str">
        <f>Secenekler!A46</f>
        <v>kurucu-sunum-hizmeti-c</v>
      </c>
      <c r="B46" s="7" t="str">
        <f>Secenekler!C46</f>
        <v>Kuluçka ve TTO yıllık lisansı: şablon, doğrulayıcı, eğitim</v>
      </c>
      <c r="C46" s="7" t="str">
        <f>Secenekler!B46</f>
        <v>Kurucu sunumu ve canlı finans modeli hizmeti</v>
      </c>
      <c r="D46" s="7" t="str">
        <f>Kapilar!K46</f>
        <v>test</v>
      </c>
      <c r="E46" s="8">
        <f>SUMPRODUCT(Puanlar!$C$3:$AB$3,Puanlar!C46:AB46)/5</f>
        <v>47.4</v>
      </c>
      <c r="F46" s="8">
        <f>SUMIF(Puanlar!C46:AB46,"&gt;=0",Puanlar!$C$3:$AB$3)</f>
        <v>100</v>
      </c>
      <c r="G46" s="8">
        <f>SUMPRODUCT(Puanlar!$C$3:$AB$3,Puanlar!C46:AB46,Guven!C46:AB46)/5</f>
        <v>16.42</v>
      </c>
      <c r="H46" s="9">
        <f>SUMPRODUCT(Puanlar!$C$3:$AB$3,Kanit!C46:AB46)/SUM(Puanlar!$C$3:$AB$3)</f>
        <v>0.2</v>
      </c>
      <c r="I46" s="8">
        <f>SUMPRODUCT(Puanlar!$AD$3:$AG$3,Puanlar!AD46:AG46)/5</f>
        <v>55</v>
      </c>
      <c r="J46" s="10">
        <f>Finans!AB46</f>
        <v>-40000</v>
      </c>
      <c r="K46" s="5">
        <f>Kanit!H46</f>
        <v>0</v>
      </c>
      <c r="L46" s="5">
        <f>IF(E46&gt;=Hedef!$C$10,1,0)</f>
        <v>1</v>
      </c>
      <c r="M46" s="5">
        <f>IF(AND(J46&gt;=Hedef!$C$5*Hedef!$C$11,Finans!AE46&lt;=Hedef!$C$14),1,0)</f>
        <v>0</v>
      </c>
      <c r="N46" s="7" t="str">
        <f>IF(D46="kaldi","Kapıda kaldı",IF(AND(D46="gecti",L46=1,K46&gt;=Hedef!$C$13,J46&gt;=Hedef!$C$5),"Yatırım yap",IF(AND(L46=1,M46=1),"Önce test et",IF(OR(L46=1,M46=1),"Değiştir",IF(I46&gt;=Hedef!$C$12,"Beklet","Bırak")))))</f>
        <v>Değiştir</v>
      </c>
      <c r="O46" s="5">
        <f>IF(N46="Yatırım yap",0,IF(N46="Önce test et",1,IF(N46="Değiştir",2,IF(N46="Beklet",3,IF(N46="Bırak",4,9)))))</f>
        <v>2</v>
      </c>
      <c r="P46" s="22">
        <f>IF(D46="kaldi","",O46*1000-G46+46/1000000000)</f>
        <v>1983.580000046</v>
      </c>
      <c r="Q46" s="5">
        <f>IF(D46="kaldi","",1+COUNTIF($P$5:$P$136,"&lt;"&amp;P46))</f>
        <v>69</v>
      </c>
      <c r="R46" s="23">
        <f>IF(D46="kaldi","",E46*(1-IF(E46&gt;0,G46/E46,0))/MAX(1,Deneyler!F46))</f>
        <v>0.885142857142857</v>
      </c>
      <c r="S46" s="22">
        <f>IF(D46="kaldi","",-R46+46/1000000000)</f>
        <v>-0.885142811142857</v>
      </c>
      <c r="T46" s="5">
        <f>IF(D46="kaldi","",1+COUNTIF($S$5:$S$136,"&lt;"&amp;S46))</f>
        <v>74</v>
      </c>
    </row>
    <row r="47">
      <c r="A47" s="7" t="str">
        <f>Secenekler!A47</f>
        <v>vize-operasyon-a</v>
      </c>
      <c r="B47" s="7" t="str">
        <f>Secenekler!C47</f>
        <v>Acente paneli: 90 günlük pilot, sonra abonelik</v>
      </c>
      <c r="C47" s="7" t="str">
        <f>Secenekler!B47</f>
        <v>Vize acentesi operasyon platformu</v>
      </c>
      <c r="D47" s="7" t="str">
        <f>Kapilar!K47</f>
        <v>test</v>
      </c>
      <c r="E47" s="8">
        <f>SUMPRODUCT(Puanlar!$C$3:$AB$3,Puanlar!C47:AB47)/5</f>
        <v>48.2</v>
      </c>
      <c r="F47" s="8">
        <f>SUMIF(Puanlar!C47:AB47,"&gt;=0",Puanlar!$C$3:$AB$3)</f>
        <v>100</v>
      </c>
      <c r="G47" s="8">
        <f>SUMPRODUCT(Puanlar!$C$3:$AB$3,Puanlar!C47:AB47,Guven!C47:AB47)/5</f>
        <v>17.7</v>
      </c>
      <c r="H47" s="9">
        <f>SUMPRODUCT(Puanlar!$C$3:$AB$3,Kanit!C47:AB47)/SUM(Puanlar!$C$3:$AB$3)</f>
        <v>0.35</v>
      </c>
      <c r="I47" s="8">
        <f>SUMPRODUCT(Puanlar!$AD$3:$AG$3,Puanlar!AD47:AG47)/5</f>
        <v>45</v>
      </c>
      <c r="J47" s="10">
        <f>Finans!AB47</f>
        <v>-62385</v>
      </c>
      <c r="K47" s="5">
        <f>Kanit!H47</f>
        <v>0</v>
      </c>
      <c r="L47" s="5">
        <f>IF(E47&gt;=Hedef!$C$10,1,0)</f>
        <v>1</v>
      </c>
      <c r="M47" s="5">
        <f>IF(AND(J47&gt;=Hedef!$C$5*Hedef!$C$11,Finans!AE47&lt;=Hedef!$C$14),1,0)</f>
        <v>0</v>
      </c>
      <c r="N47" s="7" t="str">
        <f>IF(D47="kaldi","Kapıda kaldı",IF(AND(D47="gecti",L47=1,K47&gt;=Hedef!$C$13,J47&gt;=Hedef!$C$5),"Yatırım yap",IF(AND(L47=1,M47=1),"Önce test et",IF(OR(L47=1,M47=1),"Değiştir",IF(I47&gt;=Hedef!$C$12,"Beklet","Bırak")))))</f>
        <v>Değiştir</v>
      </c>
      <c r="O47" s="5">
        <f>IF(N47="Yatırım yap",0,IF(N47="Önce test et",1,IF(N47="Değiştir",2,IF(N47="Beklet",3,IF(N47="Bırak",4,9)))))</f>
        <v>2</v>
      </c>
      <c r="P47" s="22">
        <f>IF(D47="kaldi","",O47*1000-G47+47/1000000000)</f>
        <v>1982.300000047</v>
      </c>
      <c r="Q47" s="5">
        <f>IF(D47="kaldi","",1+COUNTIF($P$5:$P$136,"&lt;"&amp;P47))</f>
        <v>56</v>
      </c>
      <c r="R47" s="23">
        <f>IF(D47="kaldi","",E47*(1-IF(E47&gt;0,G47/E47,0))/MAX(1,Deneyler!F47))</f>
        <v>0.1270833333333333</v>
      </c>
      <c r="S47" s="22">
        <f>IF(D47="kaldi","",-R47+47/1000000000)</f>
        <v>-0.1270832863333333</v>
      </c>
      <c r="T47" s="5">
        <f>IF(D47="kaldi","",1+COUNTIF($S$5:$S$136,"&lt;"&amp;S47))</f>
        <v>110</v>
      </c>
    </row>
    <row r="48">
      <c r="A48" s="7" t="str">
        <f>Secenekler!A48</f>
        <v>vize-operasyon-b</v>
      </c>
      <c r="B48" s="7" t="str">
        <f>Secenekler!C48</f>
        <v>Acente Sheet doğrulama ve eksik belge kuyruğu (ücretli pilot)</v>
      </c>
      <c r="C48" s="7" t="str">
        <f>Secenekler!B48</f>
        <v>Vize acentesi operasyon platformu</v>
      </c>
      <c r="D48" s="7" t="str">
        <f>Kapilar!K48</f>
        <v>test</v>
      </c>
      <c r="E48" s="8">
        <f>SUMPRODUCT(Puanlar!$C$3:$AB$3,Puanlar!C48:AB48)/5</f>
        <v>42.6</v>
      </c>
      <c r="F48" s="8">
        <f>SUMIF(Puanlar!C48:AB48,"&gt;=0",Puanlar!$C$3:$AB$3)</f>
        <v>100</v>
      </c>
      <c r="G48" s="8">
        <f>SUMPRODUCT(Puanlar!$C$3:$AB$3,Puanlar!C48:AB48,Guven!C48:AB48)/5</f>
        <v>15.1</v>
      </c>
      <c r="H48" s="9">
        <f>SUMPRODUCT(Puanlar!$C$3:$AB$3,Kanit!C48:AB48)/SUM(Puanlar!$C$3:$AB$3)</f>
        <v>0.23</v>
      </c>
      <c r="I48" s="8">
        <f>SUMPRODUCT(Puanlar!$AD$3:$AG$3,Puanlar!AD48:AG48)/5</f>
        <v>45</v>
      </c>
      <c r="J48" s="10">
        <f>Finans!AB48</f>
        <v>-27200</v>
      </c>
      <c r="K48" s="5">
        <f>Kanit!H48</f>
        <v>0</v>
      </c>
      <c r="L48" s="5">
        <f>IF(E48&gt;=Hedef!$C$10,1,0)</f>
        <v>0</v>
      </c>
      <c r="M48" s="5">
        <f>IF(AND(J48&gt;=Hedef!$C$5*Hedef!$C$11,Finans!AE48&lt;=Hedef!$C$14),1,0)</f>
        <v>0</v>
      </c>
      <c r="N48" s="7" t="str">
        <f>IF(D48="kaldi","Kapıda kaldı",IF(AND(D48="gecti",L48=1,K48&gt;=Hedef!$C$13,J48&gt;=Hedef!$C$5),"Yatırım yap",IF(AND(L48=1,M48=1),"Önce test et",IF(OR(L48=1,M48=1),"Değiştir",IF(I48&gt;=Hedef!$C$12,"Beklet","Bırak")))))</f>
        <v>Bırak</v>
      </c>
      <c r="O48" s="5">
        <f>IF(N48="Yatırım yap",0,IF(N48="Önce test et",1,IF(N48="Değiştir",2,IF(N48="Beklet",3,IF(N48="Bırak",4,9)))))</f>
        <v>4</v>
      </c>
      <c r="P48" s="22">
        <f>IF(D48="kaldi","",O48*1000-G48+48/1000000000)</f>
        <v>3984.900000048</v>
      </c>
      <c r="Q48" s="5">
        <f>IF(D48="kaldi","",1+COUNTIF($P$5:$P$136,"&lt;"&amp;P48))</f>
        <v>98</v>
      </c>
      <c r="R48" s="23">
        <f>IF(D48="kaldi","",E48*(1-IF(E48&gt;0,G48/E48,0))/MAX(1,Deneyler!F48))</f>
        <v>0.171875</v>
      </c>
      <c r="S48" s="22">
        <f>IF(D48="kaldi","",-R48+48/1000000000)</f>
        <v>-0.171874952</v>
      </c>
      <c r="T48" s="5">
        <f>IF(D48="kaldi","",1+COUNTIF($S$5:$S$136,"&lt;"&amp;S48))</f>
        <v>109</v>
      </c>
    </row>
    <row r="49">
      <c r="A49" s="7" t="str">
        <f>Secenekler!A49</f>
        <v>vize-operasyon-c</v>
      </c>
      <c r="B49" s="7" t="str">
        <f>Secenekler!C49</f>
        <v>Başvurucu evrak kontrolü: 299/599 ₺ rapor, SEO ile</v>
      </c>
      <c r="C49" s="7" t="str">
        <f>Secenekler!B49</f>
        <v>Vize acentesi operasyon platformu</v>
      </c>
      <c r="D49" s="7" t="str">
        <f>Kapilar!K49</f>
        <v>kaldi</v>
      </c>
      <c r="E49" s="8">
        <f>SUMPRODUCT(Puanlar!$C$3:$AB$3,Puanlar!C49:AB49)/5</f>
        <v>52.4</v>
      </c>
      <c r="F49" s="8">
        <f>SUMIF(Puanlar!C49:AB49,"&gt;=0",Puanlar!$C$3:$AB$3)</f>
        <v>100</v>
      </c>
      <c r="G49" s="8">
        <f>SUMPRODUCT(Puanlar!$C$3:$AB$3,Puanlar!C49:AB49,Guven!C49:AB49)/5</f>
        <v>18.4</v>
      </c>
      <c r="H49" s="9">
        <f>SUMPRODUCT(Puanlar!$C$3:$AB$3,Kanit!C49:AB49)/SUM(Puanlar!$C$3:$AB$3)</f>
        <v>0.26</v>
      </c>
      <c r="I49" s="8">
        <f>SUMPRODUCT(Puanlar!$AD$3:$AG$3,Puanlar!AD49:AG49)/5</f>
        <v>55</v>
      </c>
      <c r="J49" s="10">
        <f>Finans!AB49</f>
        <v>-26750</v>
      </c>
      <c r="K49" s="5">
        <f>Kanit!H49</f>
        <v>0</v>
      </c>
      <c r="L49" s="5">
        <f>IF(E49&gt;=Hedef!$C$10,1,0)</f>
        <v>1</v>
      </c>
      <c r="M49" s="5">
        <f>IF(AND(J49&gt;=Hedef!$C$5*Hedef!$C$11,Finans!AE49&lt;=Hedef!$C$14),1,0)</f>
        <v>0</v>
      </c>
      <c r="N49" s="7" t="str">
        <f>IF(D49="kaldi","Kapıda kaldı",IF(AND(D49="gecti",L49=1,K49&gt;=Hedef!$C$13,J49&gt;=Hedef!$C$5),"Yatırım yap",IF(AND(L49=1,M49=1),"Önce test et",IF(OR(L49=1,M49=1),"Değiştir",IF(I49&gt;=Hedef!$C$12,"Beklet","Bırak")))))</f>
        <v>Kapıda kaldı</v>
      </c>
      <c r="O49" s="5">
        <f>IF(N49="Yatırım yap",0,IF(N49="Önce test et",1,IF(N49="Değiştir",2,IF(N49="Beklet",3,IF(N49="Bırak",4,9)))))</f>
        <v>9</v>
      </c>
      <c r="P49" s="22" t="str">
        <f>IF(D49="kaldi","",O49*1000-G49+49/1000000000)</f>
        <v/>
      </c>
      <c r="Q49" s="5" t="str">
        <f>IF(D49="kaldi","",1+COUNTIF($P$5:$P$136,"&lt;"&amp;P49))</f>
        <v/>
      </c>
      <c r="R49" s="23" t="str">
        <f>IF(D49="kaldi","",E49*(1-IF(E49&gt;0,G49/E49,0))/MAX(1,Deneyler!F49))</f>
        <v/>
      </c>
      <c r="S49" s="22" t="str">
        <f>IF(D49="kaldi","",-R49+49/1000000000)</f>
        <v/>
      </c>
      <c r="T49" s="5" t="str">
        <f>IF(D49="kaldi","",1+COUNTIF($S$5:$S$136,"&lt;"&amp;S49))</f>
        <v/>
      </c>
    </row>
    <row r="50">
      <c r="A50" s="7" t="str">
        <f>Secenekler!A50</f>
        <v>software-factory-a</v>
      </c>
      <c r="B50" s="7" t="str">
        <f>Secenekler!C50</f>
        <v>Sabit fiyatlı kanıtlı MVP paketi (S/M/L)</v>
      </c>
      <c r="C50" s="7" t="str">
        <f>Secenekler!B50</f>
        <v>software-factory (yapay zekâ destekli yazılım üretim hattı hizmeti)</v>
      </c>
      <c r="D50" s="7" t="str">
        <f>Kapilar!K50</f>
        <v>test</v>
      </c>
      <c r="E50" s="8">
        <f>SUMPRODUCT(Puanlar!$C$3:$AB$3,Puanlar!C50:AB50)/5</f>
        <v>54.2</v>
      </c>
      <c r="F50" s="8">
        <f>SUMIF(Puanlar!C50:AB50,"&gt;=0",Puanlar!$C$3:$AB$3)</f>
        <v>100</v>
      </c>
      <c r="G50" s="8">
        <f>SUMPRODUCT(Puanlar!$C$3:$AB$3,Puanlar!C50:AB50,Guven!C50:AB50)/5</f>
        <v>21.34</v>
      </c>
      <c r="H50" s="9">
        <f>SUMPRODUCT(Puanlar!$C$3:$AB$3,Kanit!C50:AB50)/SUM(Puanlar!$C$3:$AB$3)</f>
        <v>0.4</v>
      </c>
      <c r="I50" s="8">
        <f>SUMPRODUCT(Puanlar!$AD$3:$AG$3,Puanlar!AD50:AG50)/5</f>
        <v>55</v>
      </c>
      <c r="J50" s="10">
        <f>Finans!AB50</f>
        <v>129000</v>
      </c>
      <c r="K50" s="5">
        <f>Kanit!H50</f>
        <v>1</v>
      </c>
      <c r="L50" s="5">
        <f>IF(E50&gt;=Hedef!$C$10,1,0)</f>
        <v>1</v>
      </c>
      <c r="M50" s="5">
        <f>IF(AND(J50&gt;=Hedef!$C$5*Hedef!$C$11,Finans!AE50&lt;=Hedef!$C$14),1,0)</f>
        <v>1</v>
      </c>
      <c r="N50" s="7" t="str">
        <f>IF(D50="kaldi","Kapıda kaldı",IF(AND(D50="gecti",L50=1,K50&gt;=Hedef!$C$13,J50&gt;=Hedef!$C$5),"Yatırım yap",IF(AND(L50=1,M50=1),"Önce test et",IF(OR(L50=1,M50=1),"Değiştir",IF(I50&gt;=Hedef!$C$12,"Beklet","Bırak")))))</f>
        <v>Önce test et</v>
      </c>
      <c r="O50" s="5">
        <f>IF(N50="Yatırım yap",0,IF(N50="Önce test et",1,IF(N50="Değiştir",2,IF(N50="Beklet",3,IF(N50="Bırak",4,9)))))</f>
        <v>1</v>
      </c>
      <c r="P50" s="22">
        <f>IF(D50="kaldi","",O50*1000-G50+50/1000000000)</f>
        <v>978.66000005</v>
      </c>
      <c r="Q50" s="5">
        <f>IF(D50="kaldi","",1+COUNTIF($P$5:$P$136,"&lt;"&amp;P50))</f>
        <v>3</v>
      </c>
      <c r="R50" s="23">
        <f>IF(D50="kaldi","",E50*(1-IF(E50&gt;0,G50/E50,0))/MAX(1,Deneyler!F50))</f>
        <v>0.8215</v>
      </c>
      <c r="S50" s="22">
        <f>IF(D50="kaldi","",-R50+50/1000000000)</f>
        <v>-0.82149995</v>
      </c>
      <c r="T50" s="5">
        <f>IF(D50="kaldi","",1+COUNTIF($S$5:$S$136,"&lt;"&amp;S50))</f>
        <v>86</v>
      </c>
    </row>
    <row r="51">
      <c r="A51" s="7" t="str">
        <f>Secenekler!A51</f>
        <v>software-factory-b</v>
      </c>
      <c r="B51" s="7" t="str">
        <f>Secenekler!C51</f>
        <v>Tek repo için ajan PR makbuzu kurulum hizmeti</v>
      </c>
      <c r="C51" s="7" t="str">
        <f>Secenekler!B51</f>
        <v>software-factory (yapay zekâ destekli yazılım üretim hattı hizmeti)</v>
      </c>
      <c r="D51" s="7" t="str">
        <f>Kapilar!K51</f>
        <v>test</v>
      </c>
      <c r="E51" s="8">
        <f>SUMPRODUCT(Puanlar!$C$3:$AB$3,Puanlar!C51:AB51)/5</f>
        <v>45.2</v>
      </c>
      <c r="F51" s="8">
        <f>SUMIF(Puanlar!C51:AB51,"&gt;=0",Puanlar!$C$3:$AB$3)</f>
        <v>100</v>
      </c>
      <c r="G51" s="8">
        <f>SUMPRODUCT(Puanlar!$C$3:$AB$3,Puanlar!C51:AB51,Guven!C51:AB51)/5</f>
        <v>15.88</v>
      </c>
      <c r="H51" s="9">
        <f>SUMPRODUCT(Puanlar!$C$3:$AB$3,Kanit!C51:AB51)/SUM(Puanlar!$C$3:$AB$3)</f>
        <v>0.22</v>
      </c>
      <c r="I51" s="8">
        <f>SUMPRODUCT(Puanlar!$AD$3:$AG$3,Puanlar!AD51:AG51)/5</f>
        <v>60</v>
      </c>
      <c r="J51" s="10">
        <f>Finans!AB51</f>
        <v>18000</v>
      </c>
      <c r="K51" s="5">
        <f>Kanit!H51</f>
        <v>0</v>
      </c>
      <c r="L51" s="5">
        <f>IF(E51&gt;=Hedef!$C$10,1,0)</f>
        <v>1</v>
      </c>
      <c r="M51" s="5">
        <f>IF(AND(J51&gt;=Hedef!$C$5*Hedef!$C$11,Finans!AE51&lt;=Hedef!$C$14),1,0)</f>
        <v>0</v>
      </c>
      <c r="N51" s="7" t="str">
        <f>IF(D51="kaldi","Kapıda kaldı",IF(AND(D51="gecti",L51=1,K51&gt;=Hedef!$C$13,J51&gt;=Hedef!$C$5),"Yatırım yap",IF(AND(L51=1,M51=1),"Önce test et",IF(OR(L51=1,M51=1),"Değiştir",IF(I51&gt;=Hedef!$C$12,"Beklet","Bırak")))))</f>
        <v>Değiştir</v>
      </c>
      <c r="O51" s="5">
        <f>IF(N51="Yatırım yap",0,IF(N51="Önce test et",1,IF(N51="Değiştir",2,IF(N51="Beklet",3,IF(N51="Bırak",4,9)))))</f>
        <v>2</v>
      </c>
      <c r="P51" s="22">
        <f>IF(D51="kaldi","",O51*1000-G51+51/1000000000)</f>
        <v>1984.120000051</v>
      </c>
      <c r="Q51" s="5">
        <f>IF(D51="kaldi","",1+COUNTIF($P$5:$P$136,"&lt;"&amp;P51))</f>
        <v>80</v>
      </c>
      <c r="R51" s="23">
        <f>IF(D51="kaldi","",E51*(1-IF(E51&gt;0,G51/E51,0))/MAX(1,Deneyler!F51))</f>
        <v>0.7330000000000001</v>
      </c>
      <c r="S51" s="22">
        <f>IF(D51="kaldi","",-R51+51/1000000000)</f>
        <v>-0.7329999490000001</v>
      </c>
      <c r="T51" s="5">
        <f>IF(D51="kaldi","",1+COUNTIF($S$5:$S$136,"&lt;"&amp;S51))</f>
        <v>94</v>
      </c>
    </row>
    <row r="52">
      <c r="A52" s="7" t="str">
        <f>Secenekler!A52</f>
        <v>software-factory-c</v>
      </c>
      <c r="B52" s="7" t="str">
        <f>Secenekler!C52</f>
        <v>Ajanslara beyaz etiket kanıtlı MVP kapasitesi</v>
      </c>
      <c r="C52" s="7" t="str">
        <f>Secenekler!B52</f>
        <v>software-factory (yapay zekâ destekli yazılım üretim hattı hizmeti)</v>
      </c>
      <c r="D52" s="7" t="str">
        <f>Kapilar!K52</f>
        <v>test</v>
      </c>
      <c r="E52" s="8">
        <f>SUMPRODUCT(Puanlar!$C$3:$AB$3,Puanlar!C52:AB52)/5</f>
        <v>44.2</v>
      </c>
      <c r="F52" s="8">
        <f>SUMIF(Puanlar!C52:AB52,"&gt;=0",Puanlar!$C$3:$AB$3)</f>
        <v>100</v>
      </c>
      <c r="G52" s="8">
        <f>SUMPRODUCT(Puanlar!$C$3:$AB$3,Puanlar!C52:AB52,Guven!C52:AB52)/5</f>
        <v>14.74</v>
      </c>
      <c r="H52" s="9">
        <f>SUMPRODUCT(Puanlar!$C$3:$AB$3,Kanit!C52:AB52)/SUM(Puanlar!$C$3:$AB$3)</f>
        <v>0.11</v>
      </c>
      <c r="I52" s="8">
        <f>SUMPRODUCT(Puanlar!$AD$3:$AG$3,Puanlar!AD52:AG52)/5</f>
        <v>45</v>
      </c>
      <c r="J52" s="10">
        <f>Finans!AB52</f>
        <v>-21250</v>
      </c>
      <c r="K52" s="5">
        <f>Kanit!H52</f>
        <v>0</v>
      </c>
      <c r="L52" s="5">
        <f>IF(E52&gt;=Hedef!$C$10,1,0)</f>
        <v>0</v>
      </c>
      <c r="M52" s="5">
        <f>IF(AND(J52&gt;=Hedef!$C$5*Hedef!$C$11,Finans!AE52&lt;=Hedef!$C$14),1,0)</f>
        <v>0</v>
      </c>
      <c r="N52" s="7" t="str">
        <f>IF(D52="kaldi","Kapıda kaldı",IF(AND(D52="gecti",L52=1,K52&gt;=Hedef!$C$13,J52&gt;=Hedef!$C$5),"Yatırım yap",IF(AND(L52=1,M52=1),"Önce test et",IF(OR(L52=1,M52=1),"Değiştir",IF(I52&gt;=Hedef!$C$12,"Beklet","Bırak")))))</f>
        <v>Bırak</v>
      </c>
      <c r="O52" s="5">
        <f>IF(N52="Yatırım yap",0,IF(N52="Önce test et",1,IF(N52="Değiştir",2,IF(N52="Beklet",3,IF(N52="Bırak",4,9)))))</f>
        <v>4</v>
      </c>
      <c r="P52" s="22">
        <f>IF(D52="kaldi","",O52*1000-G52+52/1000000000)</f>
        <v>3985.260000052</v>
      </c>
      <c r="Q52" s="5">
        <f>IF(D52="kaldi","",1+COUNTIF($P$5:$P$136,"&lt;"&amp;P52))</f>
        <v>99</v>
      </c>
      <c r="R52" s="23">
        <f>IF(D52="kaldi","",E52*(1-IF(E52&gt;0,G52/E52,0))/MAX(1,Deneyler!F52))</f>
        <v>0.8417142857142859</v>
      </c>
      <c r="S52" s="22">
        <f>IF(D52="kaldi","",-R52+52/1000000000)</f>
        <v>-0.8417142337142859</v>
      </c>
      <c r="T52" s="5">
        <f>IF(D52="kaldi","",1+COUNTIF($S$5:$S$136,"&lt;"&amp;S52))</f>
        <v>81</v>
      </c>
    </row>
    <row r="53">
      <c r="A53" s="7" t="str">
        <f>Secenekler!A53</f>
        <v>strateji-simulatoru-a</v>
      </c>
      <c r="B53" s="7" t="str">
        <f>Secenekler!C53</f>
        <v>Kuluçka ve BİGG uygulayıcıya white-label lisans</v>
      </c>
      <c r="C53" s="7" t="str">
        <f>Secenekler!B53</f>
        <v>Strateji Simülatörü</v>
      </c>
      <c r="D53" s="7" t="str">
        <f>Kapilar!K53</f>
        <v>test</v>
      </c>
      <c r="E53" s="8">
        <f>SUMPRODUCT(Puanlar!$C$3:$AB$3,Puanlar!C53:AB53)/5</f>
        <v>48.6</v>
      </c>
      <c r="F53" s="8">
        <f>SUMIF(Puanlar!C53:AB53,"&gt;=0",Puanlar!$C$3:$AB$3)</f>
        <v>100</v>
      </c>
      <c r="G53" s="8">
        <f>SUMPRODUCT(Puanlar!$C$3:$AB$3,Puanlar!C53:AB53,Guven!C53:AB53)/5</f>
        <v>19.7</v>
      </c>
      <c r="H53" s="9">
        <f>SUMPRODUCT(Puanlar!$C$3:$AB$3,Kanit!C53:AB53)/SUM(Puanlar!$C$3:$AB$3)</f>
        <v>0.43</v>
      </c>
      <c r="I53" s="8">
        <f>SUMPRODUCT(Puanlar!$AD$3:$AG$3,Puanlar!AD53:AG53)/5</f>
        <v>50</v>
      </c>
      <c r="J53" s="10">
        <f>Finans!AB53</f>
        <v>11400</v>
      </c>
      <c r="K53" s="5">
        <f>Kanit!H53</f>
        <v>0</v>
      </c>
      <c r="L53" s="5">
        <f>IF(E53&gt;=Hedef!$C$10,1,0)</f>
        <v>1</v>
      </c>
      <c r="M53" s="5">
        <f>IF(AND(J53&gt;=Hedef!$C$5*Hedef!$C$11,Finans!AE53&lt;=Hedef!$C$14),1,0)</f>
        <v>0</v>
      </c>
      <c r="N53" s="7" t="str">
        <f>IF(D53="kaldi","Kapıda kaldı",IF(AND(D53="gecti",L53=1,K53&gt;=Hedef!$C$13,J53&gt;=Hedef!$C$5),"Yatırım yap",IF(AND(L53=1,M53=1),"Önce test et",IF(OR(L53=1,M53=1),"Değiştir",IF(I53&gt;=Hedef!$C$12,"Beklet","Bırak")))))</f>
        <v>Değiştir</v>
      </c>
      <c r="O53" s="5">
        <f>IF(N53="Yatırım yap",0,IF(N53="Önce test et",1,IF(N53="Değiştir",2,IF(N53="Beklet",3,IF(N53="Bırak",4,9)))))</f>
        <v>2</v>
      </c>
      <c r="P53" s="22">
        <f>IF(D53="kaldi","",O53*1000-G53+53/1000000000)</f>
        <v>1980.300000053</v>
      </c>
      <c r="Q53" s="5">
        <f>IF(D53="kaldi","",1+COUNTIF($P$5:$P$136,"&lt;"&amp;P53))</f>
        <v>33</v>
      </c>
      <c r="R53" s="23">
        <f>IF(D53="kaldi","",E53*(1-IF(E53&gt;0,G53/E53,0))/MAX(1,Deneyler!F53))</f>
        <v>0.7224999999999999</v>
      </c>
      <c r="S53" s="22">
        <f>IF(D53="kaldi","",-R53+53/1000000000)</f>
        <v>-0.7224999469999999</v>
      </c>
      <c r="T53" s="5">
        <f>IF(D53="kaldi","",1+COUNTIF($S$5:$S$136,"&lt;"&amp;S53))</f>
        <v>96</v>
      </c>
    </row>
    <row r="54">
      <c r="A54" s="7" t="str">
        <f>Secenekler!A54</f>
        <v>strateji-simulatoru-b</v>
      </c>
      <c r="B54" s="7" t="str">
        <f>Secenekler!C54</f>
        <v>Girişimci adayına ücretli yönetici raporu (PDF)</v>
      </c>
      <c r="C54" s="7" t="str">
        <f>Secenekler!B54</f>
        <v>Strateji Simülatörü</v>
      </c>
      <c r="D54" s="7" t="str">
        <f>Kapilar!K54</f>
        <v>test</v>
      </c>
      <c r="E54" s="8">
        <f>SUMPRODUCT(Puanlar!$C$3:$AB$3,Puanlar!C54:AB54)/5</f>
        <v>59.8</v>
      </c>
      <c r="F54" s="8">
        <f>SUMIF(Puanlar!C54:AB54,"&gt;=0",Puanlar!$C$3:$AB$3)</f>
        <v>100</v>
      </c>
      <c r="G54" s="8">
        <f>SUMPRODUCT(Puanlar!$C$3:$AB$3,Puanlar!C54:AB54,Guven!C54:AB54)/5</f>
        <v>21.86</v>
      </c>
      <c r="H54" s="9">
        <f>SUMPRODUCT(Puanlar!$C$3:$AB$3,Kanit!C54:AB54)/SUM(Puanlar!$C$3:$AB$3)</f>
        <v>0.29</v>
      </c>
      <c r="I54" s="8">
        <f>SUMPRODUCT(Puanlar!$AD$3:$AG$3,Puanlar!AD54:AG54)/5</f>
        <v>55</v>
      </c>
      <c r="J54" s="10">
        <f>Finans!AB54</f>
        <v>-18995</v>
      </c>
      <c r="K54" s="5">
        <f>Kanit!H54</f>
        <v>0</v>
      </c>
      <c r="L54" s="5">
        <f>IF(E54&gt;=Hedef!$C$10,1,0)</f>
        <v>1</v>
      </c>
      <c r="M54" s="5">
        <f>IF(AND(J54&gt;=Hedef!$C$5*Hedef!$C$11,Finans!AE54&lt;=Hedef!$C$14),1,0)</f>
        <v>0</v>
      </c>
      <c r="N54" s="7" t="str">
        <f>IF(D54="kaldi","Kapıda kaldı",IF(AND(D54="gecti",L54=1,K54&gt;=Hedef!$C$13,J54&gt;=Hedef!$C$5),"Yatırım yap",IF(AND(L54=1,M54=1),"Önce test et",IF(OR(L54=1,M54=1),"Değiştir",IF(I54&gt;=Hedef!$C$12,"Beklet","Bırak")))))</f>
        <v>Değiştir</v>
      </c>
      <c r="O54" s="5">
        <f>IF(N54="Yatırım yap",0,IF(N54="Önce test et",1,IF(N54="Değiştir",2,IF(N54="Beklet",3,IF(N54="Bırak",4,9)))))</f>
        <v>2</v>
      </c>
      <c r="P54" s="22">
        <f>IF(D54="kaldi","",O54*1000-G54+54/1000000000)</f>
        <v>1978.140000054</v>
      </c>
      <c r="Q54" s="5">
        <f>IF(D54="kaldi","",1+COUNTIF($P$5:$P$136,"&lt;"&amp;P54))</f>
        <v>13</v>
      </c>
      <c r="R54" s="23">
        <f>IF(D54="kaldi","",E54*(1-IF(E54&gt;0,G54/E54,0))/MAX(1,Deneyler!F54))</f>
        <v>2.71</v>
      </c>
      <c r="S54" s="22">
        <f>IF(D54="kaldi","",-R54+54/1000000000)</f>
        <v>-2.709999946</v>
      </c>
      <c r="T54" s="5">
        <f>IF(D54="kaldi","",1+COUNTIF($S$5:$S$136,"&lt;"&amp;S54))</f>
        <v>10</v>
      </c>
    </row>
    <row r="55">
      <c r="A55" s="7" t="str">
        <f>Secenekler!A55</f>
        <v>strateji-simulatoru-c</v>
      </c>
      <c r="B55" s="7" t="str">
        <f>Secenekler!C55</f>
        <v>Mevcut müşterilere değerlendirme raporu ve yorum görüşmesi</v>
      </c>
      <c r="C55" s="7" t="str">
        <f>Secenekler!B55</f>
        <v>Strateji Simülatörü</v>
      </c>
      <c r="D55" s="7" t="str">
        <f>Kapilar!K55</f>
        <v>test</v>
      </c>
      <c r="E55" s="8">
        <f>SUMPRODUCT(Puanlar!$C$3:$AB$3,Puanlar!C55:AB55)/5</f>
        <v>56.6</v>
      </c>
      <c r="F55" s="8">
        <f>SUMIF(Puanlar!C55:AB55,"&gt;=0",Puanlar!$C$3:$AB$3)</f>
        <v>100</v>
      </c>
      <c r="G55" s="8">
        <f>SUMPRODUCT(Puanlar!$C$3:$AB$3,Puanlar!C55:AB55,Guven!C55:AB55)/5</f>
        <v>20.66</v>
      </c>
      <c r="H55" s="9">
        <f>SUMPRODUCT(Puanlar!$C$3:$AB$3,Kanit!C55:AB55)/SUM(Puanlar!$C$3:$AB$3)</f>
        <v>0.27</v>
      </c>
      <c r="I55" s="8">
        <f>SUMPRODUCT(Puanlar!$AD$3:$AG$3,Puanlar!AD55:AG55)/5</f>
        <v>40</v>
      </c>
      <c r="J55" s="10">
        <f>Finans!AB55</f>
        <v>7250</v>
      </c>
      <c r="K55" s="5">
        <f>Kanit!H55</f>
        <v>0</v>
      </c>
      <c r="L55" s="5">
        <f>IF(E55&gt;=Hedef!$C$10,1,0)</f>
        <v>1</v>
      </c>
      <c r="M55" s="5">
        <f>IF(AND(J55&gt;=Hedef!$C$5*Hedef!$C$11,Finans!AE55&lt;=Hedef!$C$14),1,0)</f>
        <v>0</v>
      </c>
      <c r="N55" s="7" t="str">
        <f>IF(D55="kaldi","Kapıda kaldı",IF(AND(D55="gecti",L55=1,K55&gt;=Hedef!$C$13,J55&gt;=Hedef!$C$5),"Yatırım yap",IF(AND(L55=1,M55=1),"Önce test et",IF(OR(L55=1,M55=1),"Değiştir",IF(I55&gt;=Hedef!$C$12,"Beklet","Bırak")))))</f>
        <v>Değiştir</v>
      </c>
      <c r="O55" s="5">
        <f>IF(N55="Yatırım yap",0,IF(N55="Önce test et",1,IF(N55="Değiştir",2,IF(N55="Beklet",3,IF(N55="Bırak",4,9)))))</f>
        <v>2</v>
      </c>
      <c r="P55" s="22">
        <f>IF(D55="kaldi","",O55*1000-G55+55/1000000000)</f>
        <v>1979.340000055</v>
      </c>
      <c r="Q55" s="5">
        <f>IF(D55="kaldi","",1+COUNTIF($P$5:$P$136,"&lt;"&amp;P55))</f>
        <v>20</v>
      </c>
      <c r="R55" s="23">
        <f>IF(D55="kaldi","",E55*(1-IF(E55&gt;0,G55/E55,0))/MAX(1,Deneyler!F55))</f>
        <v>3.594</v>
      </c>
      <c r="S55" s="22">
        <f>IF(D55="kaldi","",-R55+55/1000000000)</f>
        <v>-3.593999945</v>
      </c>
      <c r="T55" s="5">
        <f>IF(D55="kaldi","",1+COUNTIF($S$5:$S$136,"&lt;"&amp;S55))</f>
        <v>2</v>
      </c>
    </row>
    <row r="56">
      <c r="A56" s="7" t="str">
        <f>Secenekler!A56</f>
        <v>ajan-kaynak-koruyucu-a</v>
      </c>
      <c r="B56" s="7" t="str">
        <f>Secenekler!C56</f>
        <v>Pro menü çubuğu uygulaması ve rehber paketi (bireysel geliştirici)</v>
      </c>
      <c r="C56" s="7" t="str">
        <f>Secenekler!B56</f>
        <v>Yapay zekâ ajanı kaynak ve maliyet koruyucu</v>
      </c>
      <c r="D56" s="7" t="str">
        <f>Kapilar!K56</f>
        <v>test</v>
      </c>
      <c r="E56" s="8">
        <f>SUMPRODUCT(Puanlar!$C$3:$AB$3,Puanlar!C56:AB56)/5</f>
        <v>52.6</v>
      </c>
      <c r="F56" s="8">
        <f>SUMIF(Puanlar!C56:AB56,"&gt;=0",Puanlar!$C$3:$AB$3)</f>
        <v>100</v>
      </c>
      <c r="G56" s="8">
        <f>SUMPRODUCT(Puanlar!$C$3:$AB$3,Puanlar!C56:AB56,Guven!C56:AB56)/5</f>
        <v>21.18</v>
      </c>
      <c r="H56" s="9">
        <f>SUMPRODUCT(Puanlar!$C$3:$AB$3,Kanit!C56:AB56)/SUM(Puanlar!$C$3:$AB$3)</f>
        <v>0.55</v>
      </c>
      <c r="I56" s="8">
        <f>SUMPRODUCT(Puanlar!$AD$3:$AG$3,Puanlar!AD56:AG56)/5</f>
        <v>65</v>
      </c>
      <c r="J56" s="10">
        <f>Finans!AB56</f>
        <v>-1472</v>
      </c>
      <c r="K56" s="5">
        <f>Kanit!H56</f>
        <v>1</v>
      </c>
      <c r="L56" s="5">
        <f>IF(E56&gt;=Hedef!$C$10,1,0)</f>
        <v>1</v>
      </c>
      <c r="M56" s="5">
        <f>IF(AND(J56&gt;=Hedef!$C$5*Hedef!$C$11,Finans!AE56&lt;=Hedef!$C$14),1,0)</f>
        <v>0</v>
      </c>
      <c r="N56" s="7" t="str">
        <f>IF(D56="kaldi","Kapıda kaldı",IF(AND(D56="gecti",L56=1,K56&gt;=Hedef!$C$13,J56&gt;=Hedef!$C$5),"Yatırım yap",IF(AND(L56=1,M56=1),"Önce test et",IF(OR(L56=1,M56=1),"Değiştir",IF(I56&gt;=Hedef!$C$12,"Beklet","Bırak")))))</f>
        <v>Değiştir</v>
      </c>
      <c r="O56" s="5">
        <f>IF(N56="Yatırım yap",0,IF(N56="Önce test et",1,IF(N56="Değiştir",2,IF(N56="Beklet",3,IF(N56="Bırak",4,9)))))</f>
        <v>2</v>
      </c>
      <c r="P56" s="22">
        <f>IF(D56="kaldi","",O56*1000-G56+56/1000000000)</f>
        <v>1978.820000056</v>
      </c>
      <c r="Q56" s="5">
        <f>IF(D56="kaldi","",1+COUNTIF($P$5:$P$136,"&lt;"&amp;P56))</f>
        <v>14</v>
      </c>
      <c r="R56" s="23">
        <f>IF(D56="kaldi","",E56*(1-IF(E56&gt;0,G56/E56,0))/MAX(1,Deneyler!F56))</f>
        <v>1.2568</v>
      </c>
      <c r="S56" s="22">
        <f>IF(D56="kaldi","",-R56+56/1000000000)</f>
        <v>-1.256799944</v>
      </c>
      <c r="T56" s="5">
        <f>IF(D56="kaldi","",1+COUNTIF($S$5:$S$136,"&lt;"&amp;S56))</f>
        <v>48</v>
      </c>
    </row>
    <row r="57">
      <c r="A57" s="7" t="str">
        <f>Secenekler!A57</f>
        <v>ajan-kaynak-koruyucu-b</v>
      </c>
      <c r="B57" s="7" t="str">
        <f>Secenekler!C57</f>
        <v>Rapor-yalnız paket ve destekli kurulum/uyumluluk hizmeti</v>
      </c>
      <c r="C57" s="7" t="str">
        <f>Secenekler!B57</f>
        <v>Yapay zekâ ajanı kaynak ve maliyet koruyucu</v>
      </c>
      <c r="D57" s="7" t="str">
        <f>Kapilar!K57</f>
        <v>test</v>
      </c>
      <c r="E57" s="8">
        <f>SUMPRODUCT(Puanlar!$C$3:$AB$3,Puanlar!C57:AB57)/5</f>
        <v>49.4</v>
      </c>
      <c r="F57" s="8">
        <f>SUMIF(Puanlar!C57:AB57,"&gt;=0",Puanlar!$C$3:$AB$3)</f>
        <v>100</v>
      </c>
      <c r="G57" s="8">
        <f>SUMPRODUCT(Puanlar!$C$3:$AB$3,Puanlar!C57:AB57,Guven!C57:AB57)/5</f>
        <v>17.54</v>
      </c>
      <c r="H57" s="9">
        <f>SUMPRODUCT(Puanlar!$C$3:$AB$3,Kanit!C57:AB57)/SUM(Puanlar!$C$3:$AB$3)</f>
        <v>0.24</v>
      </c>
      <c r="I57" s="8">
        <f>SUMPRODUCT(Puanlar!$AD$3:$AG$3,Puanlar!AD57:AG57)/5</f>
        <v>35</v>
      </c>
      <c r="J57" s="10">
        <f>Finans!AB57</f>
        <v>13660</v>
      </c>
      <c r="K57" s="5">
        <f>Kanit!H57</f>
        <v>0</v>
      </c>
      <c r="L57" s="5">
        <f>IF(E57&gt;=Hedef!$C$10,1,0)</f>
        <v>1</v>
      </c>
      <c r="M57" s="5">
        <f>IF(AND(J57&gt;=Hedef!$C$5*Hedef!$C$11,Finans!AE57&lt;=Hedef!$C$14),1,0)</f>
        <v>0</v>
      </c>
      <c r="N57" s="7" t="str">
        <f>IF(D57="kaldi","Kapıda kaldı",IF(AND(D57="gecti",L57=1,K57&gt;=Hedef!$C$13,J57&gt;=Hedef!$C$5),"Yatırım yap",IF(AND(L57=1,M57=1),"Önce test et",IF(OR(L57=1,M57=1),"Değiştir",IF(I57&gt;=Hedef!$C$12,"Beklet","Bırak")))))</f>
        <v>Değiştir</v>
      </c>
      <c r="O57" s="5">
        <f>IF(N57="Yatırım yap",0,IF(N57="Önce test et",1,IF(N57="Değiştir",2,IF(N57="Beklet",3,IF(N57="Bırak",4,9)))))</f>
        <v>2</v>
      </c>
      <c r="P57" s="22">
        <f>IF(D57="kaldi","",O57*1000-G57+57/1000000000)</f>
        <v>1982.460000057</v>
      </c>
      <c r="Q57" s="5">
        <f>IF(D57="kaldi","",1+COUNTIF($P$5:$P$136,"&lt;"&amp;P57))</f>
        <v>61</v>
      </c>
      <c r="R57" s="23">
        <f>IF(D57="kaldi","",E57*(1-IF(E57&gt;0,G57/E57,0))/MAX(1,Deneyler!F57))</f>
        <v>1.593</v>
      </c>
      <c r="S57" s="22">
        <f>IF(D57="kaldi","",-R57+57/1000000000)</f>
        <v>-1.592999943</v>
      </c>
      <c r="T57" s="5">
        <f>IF(D57="kaldi","",1+COUNTIF($S$5:$S$136,"&lt;"&amp;S57))</f>
        <v>35</v>
      </c>
    </row>
    <row r="58">
      <c r="A58" s="7" t="str">
        <f>Secenekler!A58</f>
        <v>ajan-kaynak-koruyucu-c</v>
      </c>
      <c r="B58" s="7" t="str">
        <f>Secenekler!C58</f>
        <v>Orkestratör ortaklığı ve kurumsal sponsorluk (kabul API'si)</v>
      </c>
      <c r="C58" s="7" t="str">
        <f>Secenekler!B58</f>
        <v>Yapay zekâ ajanı kaynak ve maliyet koruyucu</v>
      </c>
      <c r="D58" s="7" t="str">
        <f>Kapilar!K58</f>
        <v>test</v>
      </c>
      <c r="E58" s="8">
        <f>SUMPRODUCT(Puanlar!$C$3:$AB$3,Puanlar!C58:AB58)/5</f>
        <v>48.4</v>
      </c>
      <c r="F58" s="8">
        <f>SUMIF(Puanlar!C58:AB58,"&gt;=0",Puanlar!$C$3:$AB$3)</f>
        <v>100</v>
      </c>
      <c r="G58" s="8">
        <f>SUMPRODUCT(Puanlar!$C$3:$AB$3,Puanlar!C58:AB58,Guven!C58:AB58)/5</f>
        <v>18.68</v>
      </c>
      <c r="H58" s="9">
        <f>SUMPRODUCT(Puanlar!$C$3:$AB$3,Kanit!C58:AB58)/SUM(Puanlar!$C$3:$AB$3)</f>
        <v>0.41</v>
      </c>
      <c r="I58" s="8">
        <f>SUMPRODUCT(Puanlar!$AD$3:$AG$3,Puanlar!AD58:AG58)/5</f>
        <v>45</v>
      </c>
      <c r="J58" s="10">
        <f>Finans!AB58</f>
        <v>1004</v>
      </c>
      <c r="K58" s="5">
        <f>Kanit!H58</f>
        <v>1</v>
      </c>
      <c r="L58" s="5">
        <f>IF(E58&gt;=Hedef!$C$10,1,0)</f>
        <v>1</v>
      </c>
      <c r="M58" s="5">
        <f>IF(AND(J58&gt;=Hedef!$C$5*Hedef!$C$11,Finans!AE58&lt;=Hedef!$C$14),1,0)</f>
        <v>0</v>
      </c>
      <c r="N58" s="7" t="str">
        <f>IF(D58="kaldi","Kapıda kaldı",IF(AND(D58="gecti",L58=1,K58&gt;=Hedef!$C$13,J58&gt;=Hedef!$C$5),"Yatırım yap",IF(AND(L58=1,M58=1),"Önce test et",IF(OR(L58=1,M58=1),"Değiştir",IF(I58&gt;=Hedef!$C$12,"Beklet","Bırak")))))</f>
        <v>Değiştir</v>
      </c>
      <c r="O58" s="5">
        <f>IF(N58="Yatırım yap",0,IF(N58="Önce test et",1,IF(N58="Değiştir",2,IF(N58="Beklet",3,IF(N58="Bırak",4,9)))))</f>
        <v>2</v>
      </c>
      <c r="P58" s="22">
        <f>IF(D58="kaldi","",O58*1000-G58+58/1000000000)</f>
        <v>1981.320000058</v>
      </c>
      <c r="Q58" s="5">
        <f>IF(D58="kaldi","",1+COUNTIF($P$5:$P$136,"&lt;"&amp;P58))</f>
        <v>46</v>
      </c>
      <c r="R58" s="23">
        <f>IF(D58="kaldi","",E58*(1-IF(E58&gt;0,G58/E58,0))/MAX(1,Deneyler!F58))</f>
        <v>1.981333333333333</v>
      </c>
      <c r="S58" s="22">
        <f>IF(D58="kaldi","",-R58+58/1000000000)</f>
        <v>-1.981333275333333</v>
      </c>
      <c r="T58" s="5">
        <f>IF(D58="kaldi","",1+COUNTIF($S$5:$S$136,"&lt;"&amp;S58))</f>
        <v>23</v>
      </c>
    </row>
    <row r="59">
      <c r="A59" s="7" t="str">
        <f>Secenekler!A59</f>
        <v>actionplan-a</v>
      </c>
      <c r="B59" s="7" t="str">
        <f>Secenekler!C59</f>
        <v>Ajan görev paketi: açık çekirdek ve Pro şablonlar</v>
      </c>
      <c r="C59" s="7" t="str">
        <f>Secenekler!B59</f>
        <v>actionplan (yapay zekâya hazır iş kırılım aracı)</v>
      </c>
      <c r="D59" s="7" t="str">
        <f>Kapilar!K59</f>
        <v>test</v>
      </c>
      <c r="E59" s="8">
        <f>SUMPRODUCT(Puanlar!$C$3:$AB$3,Puanlar!C59:AB59)/5</f>
        <v>55.8</v>
      </c>
      <c r="F59" s="8">
        <f>SUMIF(Puanlar!C59:AB59,"&gt;=0",Puanlar!$C$3:$AB$3)</f>
        <v>100</v>
      </c>
      <c r="G59" s="8">
        <f>SUMPRODUCT(Puanlar!$C$3:$AB$3,Puanlar!C59:AB59,Guven!C59:AB59)/5</f>
        <v>20.9</v>
      </c>
      <c r="H59" s="9">
        <f>SUMPRODUCT(Puanlar!$C$3:$AB$3,Kanit!C59:AB59)/SUM(Puanlar!$C$3:$AB$3)</f>
        <v>0.39</v>
      </c>
      <c r="I59" s="8">
        <f>SUMPRODUCT(Puanlar!$AD$3:$AG$3,Puanlar!AD59:AG59)/5</f>
        <v>55</v>
      </c>
      <c r="J59" s="10">
        <f>Finans!AB59</f>
        <v>43400</v>
      </c>
      <c r="K59" s="5">
        <f>Kanit!H59</f>
        <v>0</v>
      </c>
      <c r="L59" s="5">
        <f>IF(E59&gt;=Hedef!$C$10,1,0)</f>
        <v>1</v>
      </c>
      <c r="M59" s="5">
        <f>IF(AND(J59&gt;=Hedef!$C$5*Hedef!$C$11,Finans!AE59&lt;=Hedef!$C$14),1,0)</f>
        <v>0</v>
      </c>
      <c r="N59" s="7" t="str">
        <f>IF(D59="kaldi","Kapıda kaldı",IF(AND(D59="gecti",L59=1,K59&gt;=Hedef!$C$13,J59&gt;=Hedef!$C$5),"Yatırım yap",IF(AND(L59=1,M59=1),"Önce test et",IF(OR(L59=1,M59=1),"Değiştir",IF(I59&gt;=Hedef!$C$12,"Beklet","Bırak")))))</f>
        <v>Değiştir</v>
      </c>
      <c r="O59" s="5">
        <f>IF(N59="Yatırım yap",0,IF(N59="Önce test et",1,IF(N59="Değiştir",2,IF(N59="Beklet",3,IF(N59="Bırak",4,9)))))</f>
        <v>2</v>
      </c>
      <c r="P59" s="22">
        <f>IF(D59="kaldi","",O59*1000-G59+59/1000000000)</f>
        <v>1979.100000059</v>
      </c>
      <c r="Q59" s="5">
        <f>IF(D59="kaldi","",1+COUNTIF($P$5:$P$136,"&lt;"&amp;P59))</f>
        <v>15</v>
      </c>
      <c r="R59" s="23">
        <f>IF(D59="kaldi","",E59*(1-IF(E59&gt;0,G59/E59,0))/MAX(1,Deneyler!F59))</f>
        <v>0.8724999999999999</v>
      </c>
      <c r="S59" s="22">
        <f>IF(D59="kaldi","",-R59+59/1000000000)</f>
        <v>-0.872499941</v>
      </c>
      <c r="T59" s="5">
        <f>IF(D59="kaldi","",1+COUNTIF($S$5:$S$136,"&lt;"&amp;S59))</f>
        <v>76</v>
      </c>
    </row>
    <row r="60">
      <c r="A60" s="7" t="str">
        <f>Secenekler!A60</f>
        <v>actionplan-b</v>
      </c>
      <c r="B60" s="7" t="str">
        <f>Secenekler!C60</f>
        <v>Teslim kabul kurulumu: sürümlü kapsam ve kanıt paketi</v>
      </c>
      <c r="C60" s="7" t="str">
        <f>Secenekler!B60</f>
        <v>actionplan (yapay zekâya hazır iş kırılım aracı)</v>
      </c>
      <c r="D60" s="7" t="str">
        <f>Kapilar!K60</f>
        <v>test</v>
      </c>
      <c r="E60" s="8">
        <f>SUMPRODUCT(Puanlar!$C$3:$AB$3,Puanlar!C60:AB60)/5</f>
        <v>48</v>
      </c>
      <c r="F60" s="8">
        <f>SUMIF(Puanlar!C60:AB60,"&gt;=0",Puanlar!$C$3:$AB$3)</f>
        <v>100</v>
      </c>
      <c r="G60" s="8">
        <f>SUMPRODUCT(Puanlar!$C$3:$AB$3,Puanlar!C60:AB60,Guven!C60:AB60)/5</f>
        <v>15.08</v>
      </c>
      <c r="H60" s="9">
        <f>SUMPRODUCT(Puanlar!$C$3:$AB$3,Kanit!C60:AB60)/SUM(Puanlar!$C$3:$AB$3)</f>
        <v>0.07</v>
      </c>
      <c r="I60" s="8">
        <f>SUMPRODUCT(Puanlar!$AD$3:$AG$3,Puanlar!AD60:AG60)/5</f>
        <v>35</v>
      </c>
      <c r="J60" s="10">
        <f>Finans!AB60</f>
        <v>12700</v>
      </c>
      <c r="K60" s="5">
        <f>Kanit!H60</f>
        <v>0</v>
      </c>
      <c r="L60" s="5">
        <f>IF(E60&gt;=Hedef!$C$10,1,0)</f>
        <v>1</v>
      </c>
      <c r="M60" s="5">
        <f>IF(AND(J60&gt;=Hedef!$C$5*Hedef!$C$11,Finans!AE60&lt;=Hedef!$C$14),1,0)</f>
        <v>0</v>
      </c>
      <c r="N60" s="7" t="str">
        <f>IF(D60="kaldi","Kapıda kaldı",IF(AND(D60="gecti",L60=1,K60&gt;=Hedef!$C$13,J60&gt;=Hedef!$C$5),"Yatırım yap",IF(AND(L60=1,M60=1),"Önce test et",IF(OR(L60=1,M60=1),"Değiştir",IF(I60&gt;=Hedef!$C$12,"Beklet","Bırak")))))</f>
        <v>Değiştir</v>
      </c>
      <c r="O60" s="5">
        <f>IF(N60="Yatırım yap",0,IF(N60="Önce test et",1,IF(N60="Değiştir",2,IF(N60="Beklet",3,IF(N60="Bırak",4,9)))))</f>
        <v>2</v>
      </c>
      <c r="P60" s="22">
        <f>IF(D60="kaldi","",O60*1000-G60+60/1000000000)</f>
        <v>1984.92000006</v>
      </c>
      <c r="Q60" s="5">
        <f>IF(D60="kaldi","",1+COUNTIF($P$5:$P$136,"&lt;"&amp;P60))</f>
        <v>84</v>
      </c>
      <c r="R60" s="23">
        <f>IF(D60="kaldi","",E60*(1-IF(E60&gt;0,G60/E60,0))/MAX(1,Deneyler!F60))</f>
        <v>1.097333333333333</v>
      </c>
      <c r="S60" s="22">
        <f>IF(D60="kaldi","",-R60+60/1000000000)</f>
        <v>-1.097333273333333</v>
      </c>
      <c r="T60" s="5">
        <f>IF(D60="kaldi","",1+COUNTIF($S$5:$S$136,"&lt;"&amp;S60))</f>
        <v>63</v>
      </c>
    </row>
    <row r="61">
      <c r="A61" s="7" t="str">
        <f>Secenekler!A61</f>
        <v>actionplan-c</v>
      </c>
      <c r="B61" s="7" t="str">
        <f>Secenekler!C61</f>
        <v>Türkçe ajan görev şablon paketi</v>
      </c>
      <c r="C61" s="7" t="str">
        <f>Secenekler!B61</f>
        <v>actionplan (yapay zekâya hazır iş kırılım aracı)</v>
      </c>
      <c r="D61" s="7" t="str">
        <f>Kapilar!K61</f>
        <v>test</v>
      </c>
      <c r="E61" s="8">
        <f>SUMPRODUCT(Puanlar!$C$3:$AB$3,Puanlar!C61:AB61)/5</f>
        <v>53</v>
      </c>
      <c r="F61" s="8">
        <f>SUMIF(Puanlar!C61:AB61,"&gt;=0",Puanlar!$C$3:$AB$3)</f>
        <v>100</v>
      </c>
      <c r="G61" s="8">
        <f>SUMPRODUCT(Puanlar!$C$3:$AB$3,Puanlar!C61:AB61,Guven!C61:AB61)/5</f>
        <v>16.3</v>
      </c>
      <c r="H61" s="9">
        <f>SUMPRODUCT(Puanlar!$C$3:$AB$3,Kanit!C61:AB61)/SUM(Puanlar!$C$3:$AB$3)</f>
        <v>0.07</v>
      </c>
      <c r="I61" s="8">
        <f>SUMPRODUCT(Puanlar!$AD$3:$AG$3,Puanlar!AD61:AG61)/5</f>
        <v>45</v>
      </c>
      <c r="J61" s="10">
        <f>Finans!AB61</f>
        <v>-2912</v>
      </c>
      <c r="K61" s="5">
        <f>Kanit!H61</f>
        <v>0</v>
      </c>
      <c r="L61" s="5">
        <f>IF(E61&gt;=Hedef!$C$10,1,0)</f>
        <v>1</v>
      </c>
      <c r="M61" s="5">
        <f>IF(AND(J61&gt;=Hedef!$C$5*Hedef!$C$11,Finans!AE61&lt;=Hedef!$C$14),1,0)</f>
        <v>0</v>
      </c>
      <c r="N61" s="7" t="str">
        <f>IF(D61="kaldi","Kapıda kaldı",IF(AND(D61="gecti",L61=1,K61&gt;=Hedef!$C$13,J61&gt;=Hedef!$C$5),"Yatırım yap",IF(AND(L61=1,M61=1),"Önce test et",IF(OR(L61=1,M61=1),"Değiştir",IF(I61&gt;=Hedef!$C$12,"Beklet","Bırak")))))</f>
        <v>Değiştir</v>
      </c>
      <c r="O61" s="5">
        <f>IF(N61="Yatırım yap",0,IF(N61="Önce test et",1,IF(N61="Değiştir",2,IF(N61="Beklet",3,IF(N61="Bırak",4,9)))))</f>
        <v>2</v>
      </c>
      <c r="P61" s="22">
        <f>IF(D61="kaldi","",O61*1000-G61+61/1000000000)</f>
        <v>1983.700000061</v>
      </c>
      <c r="Q61" s="5">
        <f>IF(D61="kaldi","",1+COUNTIF($P$5:$P$136,"&lt;"&amp;P61))</f>
        <v>72</v>
      </c>
      <c r="R61" s="23">
        <f>IF(D61="kaldi","",E61*(1-IF(E61&gt;0,G61/E61,0))/MAX(1,Deneyler!F61))</f>
        <v>1.468</v>
      </c>
      <c r="S61" s="22">
        <f>IF(D61="kaldi","",-R61+61/1000000000)</f>
        <v>-1.467999939</v>
      </c>
      <c r="T61" s="5">
        <f>IF(D61="kaldi","",1+COUNTIF($S$5:$S$136,"&lt;"&amp;S61))</f>
        <v>40</v>
      </c>
    </row>
    <row r="62">
      <c r="A62" s="7" t="str">
        <f>Secenekler!A62</f>
        <v>ajan-gozlem-paneli-a</v>
      </c>
      <c r="B62" s="7" t="str">
        <f>Secenekler!C62</f>
        <v>Koruyucu Pro içinde Gözlem Paneli (tek seferlik lisans)</v>
      </c>
      <c r="C62" s="7" t="str">
        <f>Secenekler!B62</f>
        <v>Ajan gözlem paneli</v>
      </c>
      <c r="D62" s="7" t="str">
        <f>Kapilar!K62</f>
        <v>test</v>
      </c>
      <c r="E62" s="8">
        <f>SUMPRODUCT(Puanlar!$C$3:$AB$3,Puanlar!C62:AB62)/5</f>
        <v>56</v>
      </c>
      <c r="F62" s="8">
        <f>SUMIF(Puanlar!C62:AB62,"&gt;=0",Puanlar!$C$3:$AB$3)</f>
        <v>100</v>
      </c>
      <c r="G62" s="8">
        <f>SUMPRODUCT(Puanlar!$C$3:$AB$3,Puanlar!C62:AB62,Guven!C62:AB62)/5</f>
        <v>19.36</v>
      </c>
      <c r="H62" s="9">
        <f>SUMPRODUCT(Puanlar!$C$3:$AB$3,Kanit!C62:AB62)/SUM(Puanlar!$C$3:$AB$3)</f>
        <v>0.3</v>
      </c>
      <c r="I62" s="8">
        <f>SUMPRODUCT(Puanlar!$AD$3:$AG$3,Puanlar!AD62:AG62)/5</f>
        <v>60</v>
      </c>
      <c r="J62" s="10">
        <f>Finans!AB62</f>
        <v>-4240</v>
      </c>
      <c r="K62" s="5">
        <f>Kanit!H62</f>
        <v>1</v>
      </c>
      <c r="L62" s="5">
        <f>IF(E62&gt;=Hedef!$C$10,1,0)</f>
        <v>1</v>
      </c>
      <c r="M62" s="5">
        <f>IF(AND(J62&gt;=Hedef!$C$5*Hedef!$C$11,Finans!AE62&lt;=Hedef!$C$14),1,0)</f>
        <v>0</v>
      </c>
      <c r="N62" s="7" t="str">
        <f>IF(D62="kaldi","Kapıda kaldı",IF(AND(D62="gecti",L62=1,K62&gt;=Hedef!$C$13,J62&gt;=Hedef!$C$5),"Yatırım yap",IF(AND(L62=1,M62=1),"Önce test et",IF(OR(L62=1,M62=1),"Değiştir",IF(I62&gt;=Hedef!$C$12,"Beklet","Bırak")))))</f>
        <v>Değiştir</v>
      </c>
      <c r="O62" s="5">
        <f>IF(N62="Yatırım yap",0,IF(N62="Önce test et",1,IF(N62="Değiştir",2,IF(N62="Beklet",3,IF(N62="Bırak",4,9)))))</f>
        <v>2</v>
      </c>
      <c r="P62" s="22">
        <f>IF(D62="kaldi","",O62*1000-G62+62/1000000000)</f>
        <v>1980.640000062</v>
      </c>
      <c r="Q62" s="5">
        <f>IF(D62="kaldi","",1+COUNTIF($P$5:$P$136,"&lt;"&amp;P62))</f>
        <v>39</v>
      </c>
      <c r="R62" s="23">
        <f>IF(D62="kaldi","",E62*(1-IF(E62&gt;0,G62/E62,0))/MAX(1,Deneyler!F62))</f>
        <v>1.221333333333333</v>
      </c>
      <c r="S62" s="22">
        <f>IF(D62="kaldi","",-R62+62/1000000000)</f>
        <v>-1.221333271333333</v>
      </c>
      <c r="T62" s="5">
        <f>IF(D62="kaldi","",1+COUNTIF($S$5:$S$136,"&lt;"&amp;S62))</f>
        <v>50</v>
      </c>
    </row>
    <row r="63">
      <c r="A63" s="7" t="str">
        <f>Secenekler!A63</f>
        <v>ajan-gozlem-paneli-b</v>
      </c>
      <c r="B63" s="7" t="str">
        <f>Secenekler!C63</f>
        <v>Ajanslar için aylık proje bazlı yapay zekâ maliyet raporu</v>
      </c>
      <c r="C63" s="7" t="str">
        <f>Secenekler!B63</f>
        <v>Ajan gözlem paneli</v>
      </c>
      <c r="D63" s="7" t="str">
        <f>Kapilar!K63</f>
        <v>test</v>
      </c>
      <c r="E63" s="8">
        <f>SUMPRODUCT(Puanlar!$C$3:$AB$3,Puanlar!C63:AB63)/5</f>
        <v>45.2</v>
      </c>
      <c r="F63" s="8">
        <f>SUMIF(Puanlar!C63:AB63,"&gt;=0",Puanlar!$C$3:$AB$3)</f>
        <v>100</v>
      </c>
      <c r="G63" s="8">
        <f>SUMPRODUCT(Puanlar!$C$3:$AB$3,Puanlar!C63:AB63,Guven!C63:AB63)/5</f>
        <v>13.88</v>
      </c>
      <c r="H63" s="9">
        <f>SUMPRODUCT(Puanlar!$C$3:$AB$3,Kanit!C63:AB63)/SUM(Puanlar!$C$3:$AB$3)</f>
        <v>0.04</v>
      </c>
      <c r="I63" s="8">
        <f>SUMPRODUCT(Puanlar!$AD$3:$AG$3,Puanlar!AD63:AG63)/5</f>
        <v>40</v>
      </c>
      <c r="J63" s="10">
        <f>Finans!AB63</f>
        <v>-1200</v>
      </c>
      <c r="K63" s="5">
        <f>Kanit!H63</f>
        <v>0</v>
      </c>
      <c r="L63" s="5">
        <f>IF(E63&gt;=Hedef!$C$10,1,0)</f>
        <v>1</v>
      </c>
      <c r="M63" s="5">
        <f>IF(AND(J63&gt;=Hedef!$C$5*Hedef!$C$11,Finans!AE63&lt;=Hedef!$C$14),1,0)</f>
        <v>0</v>
      </c>
      <c r="N63" s="7" t="str">
        <f>IF(D63="kaldi","Kapıda kaldı",IF(AND(D63="gecti",L63=1,K63&gt;=Hedef!$C$13,J63&gt;=Hedef!$C$5),"Yatırım yap",IF(AND(L63=1,M63=1),"Önce test et",IF(OR(L63=1,M63=1),"Değiştir",IF(I63&gt;=Hedef!$C$12,"Beklet","Bırak")))))</f>
        <v>Değiştir</v>
      </c>
      <c r="O63" s="5">
        <f>IF(N63="Yatırım yap",0,IF(N63="Önce test et",1,IF(N63="Değiştir",2,IF(N63="Beklet",3,IF(N63="Bırak",4,9)))))</f>
        <v>2</v>
      </c>
      <c r="P63" s="22">
        <f>IF(D63="kaldi","",O63*1000-G63+63/1000000000)</f>
        <v>1986.120000063</v>
      </c>
      <c r="Q63" s="5">
        <f>IF(D63="kaldi","",1+COUNTIF($P$5:$P$136,"&lt;"&amp;P63))</f>
        <v>93</v>
      </c>
      <c r="R63" s="23">
        <f>IF(D63="kaldi","",E63*(1-IF(E63&gt;0,G63/E63,0))/MAX(1,Deneyler!F63))</f>
        <v>1.2528</v>
      </c>
      <c r="S63" s="22">
        <f>IF(D63="kaldi","",-R63+63/1000000000)</f>
        <v>-1.252799937</v>
      </c>
      <c r="T63" s="5">
        <f>IF(D63="kaldi","",1+COUNTIF($S$5:$S$136,"&lt;"&amp;S63))</f>
        <v>49</v>
      </c>
    </row>
    <row r="64">
      <c r="A64" s="7" t="str">
        <f>Secenekler!A64</f>
        <v>ajan-gozlem-paneli-c</v>
      </c>
      <c r="B64" s="7" t="str">
        <f>Secenekler!C64</f>
        <v>Yapay zekâ iş izleme kartı kurulum paketi</v>
      </c>
      <c r="C64" s="7" t="str">
        <f>Secenekler!B64</f>
        <v>Ajan gözlem paneli</v>
      </c>
      <c r="D64" s="7" t="str">
        <f>Kapilar!K64</f>
        <v>kaldi</v>
      </c>
      <c r="E64" s="8">
        <f>SUMPRODUCT(Puanlar!$C$3:$AB$3,Puanlar!C64:AB64)/5</f>
        <v>36</v>
      </c>
      <c r="F64" s="8">
        <f>SUMIF(Puanlar!C64:AB64,"&gt;=0",Puanlar!$C$3:$AB$3)</f>
        <v>100</v>
      </c>
      <c r="G64" s="8">
        <f>SUMPRODUCT(Puanlar!$C$3:$AB$3,Puanlar!C64:AB64,Guven!C64:AB64)/5</f>
        <v>10.8</v>
      </c>
      <c r="H64" s="9">
        <f>SUMPRODUCT(Puanlar!$C$3:$AB$3,Kanit!C64:AB64)/SUM(Puanlar!$C$3:$AB$3)</f>
        <v>0</v>
      </c>
      <c r="I64" s="8">
        <f>SUMPRODUCT(Puanlar!$AD$3:$AG$3,Puanlar!AD64:AG64)/5</f>
        <v>20</v>
      </c>
      <c r="J64" s="10">
        <f>Finans!AB64</f>
        <v>-500</v>
      </c>
      <c r="K64" s="5">
        <f>Kanit!H64</f>
        <v>0</v>
      </c>
      <c r="L64" s="5">
        <f>IF(E64&gt;=Hedef!$C$10,1,0)</f>
        <v>0</v>
      </c>
      <c r="M64" s="5">
        <f>IF(AND(J64&gt;=Hedef!$C$5*Hedef!$C$11,Finans!AE64&lt;=Hedef!$C$14),1,0)</f>
        <v>0</v>
      </c>
      <c r="N64" s="7" t="str">
        <f>IF(D64="kaldi","Kapıda kaldı",IF(AND(D64="gecti",L64=1,K64&gt;=Hedef!$C$13,J64&gt;=Hedef!$C$5),"Yatırım yap",IF(AND(L64=1,M64=1),"Önce test et",IF(OR(L64=1,M64=1),"Değiştir",IF(I64&gt;=Hedef!$C$12,"Beklet","Bırak")))))</f>
        <v>Kapıda kaldı</v>
      </c>
      <c r="O64" s="5">
        <f>IF(N64="Yatırım yap",0,IF(N64="Önce test et",1,IF(N64="Değiştir",2,IF(N64="Beklet",3,IF(N64="Bırak",4,9)))))</f>
        <v>9</v>
      </c>
      <c r="P64" s="22" t="str">
        <f>IF(D64="kaldi","",O64*1000-G64+64/1000000000)</f>
        <v/>
      </c>
      <c r="Q64" s="5" t="str">
        <f>IF(D64="kaldi","",1+COUNTIF($P$5:$P$136,"&lt;"&amp;P64))</f>
        <v/>
      </c>
      <c r="R64" s="23" t="str">
        <f>IF(D64="kaldi","",E64*(1-IF(E64&gt;0,G64/E64,0))/MAX(1,Deneyler!F64))</f>
        <v/>
      </c>
      <c r="S64" s="22" t="str">
        <f>IF(D64="kaldi","",-R64+64/1000000000)</f>
        <v/>
      </c>
      <c r="T64" s="5" t="str">
        <f>IF(D64="kaldi","",1+COUNTIF($S$5:$S$136,"&lt;"&amp;S64))</f>
        <v/>
      </c>
    </row>
    <row r="65">
      <c r="A65" s="7" t="str">
        <f>Secenekler!A65</f>
        <v>ai-first-tasarim-a</v>
      </c>
      <c r="B65" s="7" t="str">
        <f>Secenekler!C65</f>
        <v>Türkçe yapay zekâ öncelikli tasarım sistemi rehberi (e-kitap)</v>
      </c>
      <c r="C65" s="7" t="str">
        <f>Secenekler!B65</f>
        <v>Yapay zekâ öncelikli tasarım sistemi rehberi</v>
      </c>
      <c r="D65" s="7" t="str">
        <f>Kapilar!K65</f>
        <v>test</v>
      </c>
      <c r="E65" s="8">
        <f>SUMPRODUCT(Puanlar!$C$3:$AB$3,Puanlar!C65:AB65)/5</f>
        <v>55.6</v>
      </c>
      <c r="F65" s="8">
        <f>SUMIF(Puanlar!C65:AB65,"&gt;=0",Puanlar!$C$3:$AB$3)</f>
        <v>100</v>
      </c>
      <c r="G65" s="8">
        <f>SUMPRODUCT(Puanlar!$C$3:$AB$3,Puanlar!C65:AB65,Guven!C65:AB65)/5</f>
        <v>19</v>
      </c>
      <c r="H65" s="9">
        <f>SUMPRODUCT(Puanlar!$C$3:$AB$3,Kanit!C65:AB65)/SUM(Puanlar!$C$3:$AB$3)</f>
        <v>0.28</v>
      </c>
      <c r="I65" s="8">
        <f>SUMPRODUCT(Puanlar!$AD$3:$AG$3,Puanlar!AD65:AG65)/5</f>
        <v>50</v>
      </c>
      <c r="J65" s="10">
        <f>Finans!AB65</f>
        <v>-10867</v>
      </c>
      <c r="K65" s="5">
        <f>Kanit!H65</f>
        <v>1</v>
      </c>
      <c r="L65" s="5">
        <f>IF(E65&gt;=Hedef!$C$10,1,0)</f>
        <v>1</v>
      </c>
      <c r="M65" s="5">
        <f>IF(AND(J65&gt;=Hedef!$C$5*Hedef!$C$11,Finans!AE65&lt;=Hedef!$C$14),1,0)</f>
        <v>0</v>
      </c>
      <c r="N65" s="7" t="str">
        <f>IF(D65="kaldi","Kapıda kaldı",IF(AND(D65="gecti",L65=1,K65&gt;=Hedef!$C$13,J65&gt;=Hedef!$C$5),"Yatırım yap",IF(AND(L65=1,M65=1),"Önce test et",IF(OR(L65=1,M65=1),"Değiştir",IF(I65&gt;=Hedef!$C$12,"Beklet","Bırak")))))</f>
        <v>Değiştir</v>
      </c>
      <c r="O65" s="5">
        <f>IF(N65="Yatırım yap",0,IF(N65="Önce test et",1,IF(N65="Değiştir",2,IF(N65="Beklet",3,IF(N65="Bırak",4,9)))))</f>
        <v>2</v>
      </c>
      <c r="P65" s="22">
        <f>IF(D65="kaldi","",O65*1000-G65+65/1000000000)</f>
        <v>1981.000000065</v>
      </c>
      <c r="Q65" s="5">
        <f>IF(D65="kaldi","",1+COUNTIF($P$5:$P$136,"&lt;"&amp;P65))</f>
        <v>43</v>
      </c>
      <c r="R65" s="23">
        <f>IF(D65="kaldi","",E65*(1-IF(E65&gt;0,G65/E65,0))/MAX(1,Deneyler!F65))</f>
        <v>0.915</v>
      </c>
      <c r="S65" s="22">
        <f>IF(D65="kaldi","",-R65+65/1000000000)</f>
        <v>-0.914999935</v>
      </c>
      <c r="T65" s="5">
        <f>IF(D65="kaldi","",1+COUNTIF($S$5:$S$136,"&lt;"&amp;S65))</f>
        <v>72</v>
      </c>
    </row>
    <row r="66">
      <c r="A66" s="7" t="str">
        <f>Secenekler!A66</f>
        <v>ai-first-tasarim-b</v>
      </c>
      <c r="B66" s="7" t="str">
        <f>Secenekler!C66</f>
        <v>Ekip atölyesi ve 2 haftalık tasarım sistemi kurulumu</v>
      </c>
      <c r="C66" s="7" t="str">
        <f>Secenekler!B66</f>
        <v>Yapay zekâ öncelikli tasarım sistemi rehberi</v>
      </c>
      <c r="D66" s="7" t="str">
        <f>Kapilar!K66</f>
        <v>test</v>
      </c>
      <c r="E66" s="8">
        <f>SUMPRODUCT(Puanlar!$C$3:$AB$3,Puanlar!C66:AB66)/5</f>
        <v>48.8</v>
      </c>
      <c r="F66" s="8">
        <f>SUMIF(Puanlar!C66:AB66,"&gt;=0",Puanlar!$C$3:$AB$3)</f>
        <v>100</v>
      </c>
      <c r="G66" s="8">
        <f>SUMPRODUCT(Puanlar!$C$3:$AB$3,Puanlar!C66:AB66,Guven!C66:AB66)/5</f>
        <v>15.92</v>
      </c>
      <c r="H66" s="9">
        <f>SUMPRODUCT(Puanlar!$C$3:$AB$3,Kanit!C66:AB66)/SUM(Puanlar!$C$3:$AB$3)</f>
        <v>0.12</v>
      </c>
      <c r="I66" s="8">
        <f>SUMPRODUCT(Puanlar!$AD$3:$AG$3,Puanlar!AD66:AG66)/5</f>
        <v>35</v>
      </c>
      <c r="J66" s="10">
        <f>Finans!AB66</f>
        <v>-14000</v>
      </c>
      <c r="K66" s="5">
        <f>Kanit!H66</f>
        <v>0</v>
      </c>
      <c r="L66" s="5">
        <f>IF(E66&gt;=Hedef!$C$10,1,0)</f>
        <v>1</v>
      </c>
      <c r="M66" s="5">
        <f>IF(AND(J66&gt;=Hedef!$C$5*Hedef!$C$11,Finans!AE66&lt;=Hedef!$C$14),1,0)</f>
        <v>0</v>
      </c>
      <c r="N66" s="7" t="str">
        <f>IF(D66="kaldi","Kapıda kaldı",IF(AND(D66="gecti",L66=1,K66&gt;=Hedef!$C$13,J66&gt;=Hedef!$C$5),"Yatırım yap",IF(AND(L66=1,M66=1),"Önce test et",IF(OR(L66=1,M66=1),"Değiştir",IF(I66&gt;=Hedef!$C$12,"Beklet","Bırak")))))</f>
        <v>Değiştir</v>
      </c>
      <c r="O66" s="5">
        <f>IF(N66="Yatırım yap",0,IF(N66="Önce test et",1,IF(N66="Değiştir",2,IF(N66="Beklet",3,IF(N66="Bırak",4,9)))))</f>
        <v>2</v>
      </c>
      <c r="P66" s="22">
        <f>IF(D66="kaldi","",O66*1000-G66+66/1000000000)</f>
        <v>1984.080000066</v>
      </c>
      <c r="Q66" s="5">
        <f>IF(D66="kaldi","",1+COUNTIF($P$5:$P$136,"&lt;"&amp;P66))</f>
        <v>79</v>
      </c>
      <c r="R66" s="23">
        <f>IF(D66="kaldi","",E66*(1-IF(E66&gt;0,G66/E66,0))/MAX(1,Deneyler!F66))</f>
        <v>0.9394285714285715</v>
      </c>
      <c r="S66" s="22">
        <f>IF(D66="kaldi","",-R66+66/1000000000)</f>
        <v>-0.9394285054285715</v>
      </c>
      <c r="T66" s="5">
        <f>IF(D66="kaldi","",1+COUNTIF($S$5:$S$136,"&lt;"&amp;S66))</f>
        <v>69</v>
      </c>
    </row>
    <row r="67">
      <c r="A67" s="7" t="str">
        <f>Secenekler!A67</f>
        <v>ai-first-tasarim-c</v>
      </c>
      <c r="B67" s="7" t="str">
        <f>Secenekler!C67</f>
        <v>Ajansa sabit fiyatlı form ve tablo kabul dosyası paketi</v>
      </c>
      <c r="C67" s="7" t="str">
        <f>Secenekler!B67</f>
        <v>Yapay zekâ öncelikli tasarım sistemi rehberi</v>
      </c>
      <c r="D67" s="7" t="str">
        <f>Kapilar!K67</f>
        <v>test</v>
      </c>
      <c r="E67" s="8">
        <f>SUMPRODUCT(Puanlar!$C$3:$AB$3,Puanlar!C67:AB67)/5</f>
        <v>50.6</v>
      </c>
      <c r="F67" s="8">
        <f>SUMIF(Puanlar!C67:AB67,"&gt;=0",Puanlar!$C$3:$AB$3)</f>
        <v>100</v>
      </c>
      <c r="G67" s="8">
        <f>SUMPRODUCT(Puanlar!$C$3:$AB$3,Puanlar!C67:AB67,Guven!C67:AB67)/5</f>
        <v>15.82</v>
      </c>
      <c r="H67" s="9">
        <f>SUMPRODUCT(Puanlar!$C$3:$AB$3,Kanit!C67:AB67)/SUM(Puanlar!$C$3:$AB$3)</f>
        <v>0.04</v>
      </c>
      <c r="I67" s="8">
        <f>SUMPRODUCT(Puanlar!$AD$3:$AG$3,Puanlar!AD67:AG67)/5</f>
        <v>40</v>
      </c>
      <c r="J67" s="10">
        <f>Finans!AB67</f>
        <v>11000</v>
      </c>
      <c r="K67" s="5">
        <f>Kanit!H67</f>
        <v>0</v>
      </c>
      <c r="L67" s="5">
        <f>IF(E67&gt;=Hedef!$C$10,1,0)</f>
        <v>1</v>
      </c>
      <c r="M67" s="5">
        <f>IF(AND(J67&gt;=Hedef!$C$5*Hedef!$C$11,Finans!AE67&lt;=Hedef!$C$14),1,0)</f>
        <v>0</v>
      </c>
      <c r="N67" s="7" t="str">
        <f>IF(D67="kaldi","Kapıda kaldı",IF(AND(D67="gecti",L67=1,K67&gt;=Hedef!$C$13,J67&gt;=Hedef!$C$5),"Yatırım yap",IF(AND(L67=1,M67=1),"Önce test et",IF(OR(L67=1,M67=1),"Değiştir",IF(I67&gt;=Hedef!$C$12,"Beklet","Bırak")))))</f>
        <v>Değiştir</v>
      </c>
      <c r="O67" s="5">
        <f>IF(N67="Yatırım yap",0,IF(N67="Önce test et",1,IF(N67="Değiştir",2,IF(N67="Beklet",3,IF(N67="Bırak",4,9)))))</f>
        <v>2</v>
      </c>
      <c r="P67" s="22">
        <f>IF(D67="kaldi","",O67*1000-G67+67/1000000000)</f>
        <v>1984.180000067</v>
      </c>
      <c r="Q67" s="5">
        <f>IF(D67="kaldi","",1+COUNTIF($P$5:$P$136,"&lt;"&amp;P67))</f>
        <v>81</v>
      </c>
      <c r="R67" s="23">
        <f>IF(D67="kaldi","",E67*(1-IF(E67&gt;0,G67/E67,0))/MAX(1,Deneyler!F67))</f>
        <v>1.3912</v>
      </c>
      <c r="S67" s="22">
        <f>IF(D67="kaldi","",-R67+67/1000000000)</f>
        <v>-1.391199933</v>
      </c>
      <c r="T67" s="5">
        <f>IF(D67="kaldi","",1+COUNTIF($S$5:$S$136,"&lt;"&amp;S67))</f>
        <v>44</v>
      </c>
    </row>
    <row r="68">
      <c r="A68" s="7" t="str">
        <f>Secenekler!A68</f>
        <v>aicommandcard-a</v>
      </c>
      <c r="B68" s="7" t="str">
        <f>Secenekler!C68</f>
        <v>QR menü ürününde AI asistan (₺999 plan katmanı)</v>
      </c>
      <c r="C68" s="7" t="str">
        <f>Secenekler!B68</f>
        <v>AiCommandCard bileşeni</v>
      </c>
      <c r="D68" s="7" t="str">
        <f>Kapilar!K68</f>
        <v>test</v>
      </c>
      <c r="E68" s="8">
        <f>SUMPRODUCT(Puanlar!$C$3:$AB$3,Puanlar!C68:AB68)/5</f>
        <v>48.6</v>
      </c>
      <c r="F68" s="8">
        <f>SUMIF(Puanlar!C68:AB68,"&gt;=0",Puanlar!$C$3:$AB$3)</f>
        <v>100</v>
      </c>
      <c r="G68" s="8">
        <f>SUMPRODUCT(Puanlar!$C$3:$AB$3,Puanlar!C68:AB68,Guven!C68:AB68)/5</f>
        <v>16.9</v>
      </c>
      <c r="H68" s="9">
        <f>SUMPRODUCT(Puanlar!$C$3:$AB$3,Kanit!C68:AB68)/SUM(Puanlar!$C$3:$AB$3)</f>
        <v>0.22</v>
      </c>
      <c r="I68" s="8">
        <f>SUMPRODUCT(Puanlar!$AD$3:$AG$3,Puanlar!AD68:AG68)/5</f>
        <v>60</v>
      </c>
      <c r="J68" s="10">
        <f>Finans!AB68</f>
        <v>-12800</v>
      </c>
      <c r="K68" s="5">
        <f>Kanit!H68</f>
        <v>0</v>
      </c>
      <c r="L68" s="5">
        <f>IF(E68&gt;=Hedef!$C$10,1,0)</f>
        <v>1</v>
      </c>
      <c r="M68" s="5">
        <f>IF(AND(J68&gt;=Hedef!$C$5*Hedef!$C$11,Finans!AE68&lt;=Hedef!$C$14),1,0)</f>
        <v>0</v>
      </c>
      <c r="N68" s="7" t="str">
        <f>IF(D68="kaldi","Kapıda kaldı",IF(AND(D68="gecti",L68=1,K68&gt;=Hedef!$C$13,J68&gt;=Hedef!$C$5),"Yatırım yap",IF(AND(L68=1,M68=1),"Önce test et",IF(OR(L68=1,M68=1),"Değiştir",IF(I68&gt;=Hedef!$C$12,"Beklet","Bırak")))))</f>
        <v>Değiştir</v>
      </c>
      <c r="O68" s="5">
        <f>IF(N68="Yatırım yap",0,IF(N68="Önce test et",1,IF(N68="Değiştir",2,IF(N68="Beklet",3,IF(N68="Bırak",4,9)))))</f>
        <v>2</v>
      </c>
      <c r="P68" s="22">
        <f>IF(D68="kaldi","",O68*1000-G68+68/1000000000)</f>
        <v>1983.100000068</v>
      </c>
      <c r="Q68" s="5">
        <f>IF(D68="kaldi","",1+COUNTIF($P$5:$P$136,"&lt;"&amp;P68))</f>
        <v>64</v>
      </c>
      <c r="R68" s="23">
        <f>IF(D68="kaldi","",E68*(1-IF(E68&gt;0,G68/E68,0))/MAX(1,Deneyler!F68))</f>
        <v>0.5283333333333333</v>
      </c>
      <c r="S68" s="22">
        <f>IF(D68="kaldi","",-R68+68/1000000000)</f>
        <v>-0.5283332653333334</v>
      </c>
      <c r="T68" s="5">
        <f>IF(D68="kaldi","",1+COUNTIF($S$5:$S$136,"&lt;"&amp;S68))</f>
        <v>102</v>
      </c>
    </row>
    <row r="69">
      <c r="A69" s="7" t="str">
        <f>Secenekler!A69</f>
        <v>aicommandcard-b</v>
      </c>
      <c r="B69" s="7" t="str">
        <f>Secenekler!C69</f>
        <v>Sabit kapsamlı AiCommandCard entegrasyon paketi</v>
      </c>
      <c r="C69" s="7" t="str">
        <f>Secenekler!B69</f>
        <v>AiCommandCard bileşeni</v>
      </c>
      <c r="D69" s="7" t="str">
        <f>Kapilar!K69</f>
        <v>test</v>
      </c>
      <c r="E69" s="8">
        <f>SUMPRODUCT(Puanlar!$C$3:$AB$3,Puanlar!C69:AB69)/5</f>
        <v>45.2</v>
      </c>
      <c r="F69" s="8">
        <f>SUMIF(Puanlar!C69:AB69,"&gt;=0",Puanlar!$C$3:$AB$3)</f>
        <v>100</v>
      </c>
      <c r="G69" s="8">
        <f>SUMPRODUCT(Puanlar!$C$3:$AB$3,Puanlar!C69:AB69,Guven!C69:AB69)/5</f>
        <v>16.88</v>
      </c>
      <c r="H69" s="9">
        <f>SUMPRODUCT(Puanlar!$C$3:$AB$3,Kanit!C69:AB69)/SUM(Puanlar!$C$3:$AB$3)</f>
        <v>0.29</v>
      </c>
      <c r="I69" s="8">
        <f>SUMPRODUCT(Puanlar!$AD$3:$AG$3,Puanlar!AD69:AG69)/5</f>
        <v>35</v>
      </c>
      <c r="J69" s="10">
        <f>Finans!AB69</f>
        <v>-2100</v>
      </c>
      <c r="K69" s="5">
        <f>Kanit!H69</f>
        <v>0</v>
      </c>
      <c r="L69" s="5">
        <f>IF(E69&gt;=Hedef!$C$10,1,0)</f>
        <v>1</v>
      </c>
      <c r="M69" s="5">
        <f>IF(AND(J69&gt;=Hedef!$C$5*Hedef!$C$11,Finans!AE69&lt;=Hedef!$C$14),1,0)</f>
        <v>0</v>
      </c>
      <c r="N69" s="7" t="str">
        <f>IF(D69="kaldi","Kapıda kaldı",IF(AND(D69="gecti",L69=1,K69&gt;=Hedef!$C$13,J69&gt;=Hedef!$C$5),"Yatırım yap",IF(AND(L69=1,M69=1),"Önce test et",IF(OR(L69=1,M69=1),"Değiştir",IF(I69&gt;=Hedef!$C$12,"Beklet","Bırak")))))</f>
        <v>Değiştir</v>
      </c>
      <c r="O69" s="5">
        <f>IF(N69="Yatırım yap",0,IF(N69="Önce test et",1,IF(N69="Değiştir",2,IF(N69="Beklet",3,IF(N69="Bırak",4,9)))))</f>
        <v>2</v>
      </c>
      <c r="P69" s="22">
        <f>IF(D69="kaldi","",O69*1000-G69+69/1000000000)</f>
        <v>1983.120000069</v>
      </c>
      <c r="Q69" s="5">
        <f>IF(D69="kaldi","",1+COUNTIF($P$5:$P$136,"&lt;"&amp;P69))</f>
        <v>65</v>
      </c>
      <c r="R69" s="23">
        <f>IF(D69="kaldi","",E69*(1-IF(E69&gt;0,G69/E69,0))/MAX(1,Deneyler!F69))</f>
        <v>1.888</v>
      </c>
      <c r="S69" s="22">
        <f>IF(D69="kaldi","",-R69+69/1000000000)</f>
        <v>-1.887999931</v>
      </c>
      <c r="T69" s="5">
        <f>IF(D69="kaldi","",1+COUNTIF($S$5:$S$136,"&lt;"&amp;S69))</f>
        <v>26</v>
      </c>
    </row>
    <row r="70">
      <c r="A70" s="7" t="str">
        <f>Secenekler!A70</f>
        <v>atonota-denetim-a</v>
      </c>
      <c r="B70" s="7" t="str">
        <f>Secenekler!C70</f>
        <v>Ücretsiz puan kartı eklentisi ve Pro yıllık lisans</v>
      </c>
      <c r="C70" s="7" t="str">
        <f>Secenekler!B70</f>
        <v>WordPress site sağlığı ve pazarlama denetimi eklentisi (atonota)</v>
      </c>
      <c r="D70" s="7" t="str">
        <f>Kapilar!K70</f>
        <v>test</v>
      </c>
      <c r="E70" s="8">
        <f>SUMPRODUCT(Puanlar!$C$3:$AB$3,Puanlar!C70:AB70)/5</f>
        <v>53.4</v>
      </c>
      <c r="F70" s="8">
        <f>SUMIF(Puanlar!C70:AB70,"&gt;=0",Puanlar!$C$3:$AB$3)</f>
        <v>100</v>
      </c>
      <c r="G70" s="8">
        <f>SUMPRODUCT(Puanlar!$C$3:$AB$3,Puanlar!C70:AB70,Guven!C70:AB70)/5</f>
        <v>19.94</v>
      </c>
      <c r="H70" s="9">
        <f>SUMPRODUCT(Puanlar!$C$3:$AB$3,Kanit!C70:AB70)/SUM(Puanlar!$C$3:$AB$3)</f>
        <v>0.4</v>
      </c>
      <c r="I70" s="8">
        <f>SUMPRODUCT(Puanlar!$AD$3:$AG$3,Puanlar!AD70:AG70)/5</f>
        <v>55</v>
      </c>
      <c r="J70" s="10">
        <f>Finans!AB70</f>
        <v>-80</v>
      </c>
      <c r="K70" s="5">
        <f>Kanit!H70</f>
        <v>0</v>
      </c>
      <c r="L70" s="5">
        <f>IF(E70&gt;=Hedef!$C$10,1,0)</f>
        <v>1</v>
      </c>
      <c r="M70" s="5">
        <f>IF(AND(J70&gt;=Hedef!$C$5*Hedef!$C$11,Finans!AE70&lt;=Hedef!$C$14),1,0)</f>
        <v>0</v>
      </c>
      <c r="N70" s="7" t="str">
        <f>IF(D70="kaldi","Kapıda kaldı",IF(AND(D70="gecti",L70=1,K70&gt;=Hedef!$C$13,J70&gt;=Hedef!$C$5),"Yatırım yap",IF(AND(L70=1,M70=1),"Önce test et",IF(OR(L70=1,M70=1),"Değiştir",IF(I70&gt;=Hedef!$C$12,"Beklet","Bırak")))))</f>
        <v>Değiştir</v>
      </c>
      <c r="O70" s="5">
        <f>IF(N70="Yatırım yap",0,IF(N70="Önce test et",1,IF(N70="Değiştir",2,IF(N70="Beklet",3,IF(N70="Bırak",4,9)))))</f>
        <v>2</v>
      </c>
      <c r="P70" s="22">
        <f>IF(D70="kaldi","",O70*1000-G70+70/1000000000)</f>
        <v>1980.06000007</v>
      </c>
      <c r="Q70" s="5">
        <f>IF(D70="kaldi","",1+COUNTIF($P$5:$P$136,"&lt;"&amp;P70))</f>
        <v>27</v>
      </c>
      <c r="R70" s="23">
        <f>IF(D70="kaldi","",E70*(1-IF(E70&gt;0,G70/E70,0))/MAX(1,Deneyler!F70))</f>
        <v>0.5576666666666665</v>
      </c>
      <c r="S70" s="22">
        <f>IF(D70="kaldi","",-R70+70/1000000000)</f>
        <v>-0.5576665966666665</v>
      </c>
      <c r="T70" s="5">
        <f>IF(D70="kaldi","",1+COUNTIF($S$5:$S$136,"&lt;"&amp;S70))</f>
        <v>101</v>
      </c>
    </row>
    <row r="71">
      <c r="A71" s="7" t="str">
        <f>Secenekler!A71</f>
        <v>atonota-denetim-b</v>
      </c>
      <c r="B71" s="7" t="str">
        <f>Secenekler!C71</f>
        <v>Ajans lisansı: 25 site için aylık müşteri sağlık raporu</v>
      </c>
      <c r="C71" s="7" t="str">
        <f>Secenekler!B71</f>
        <v>WordPress site sağlığı ve pazarlama denetimi eklentisi (atonota)</v>
      </c>
      <c r="D71" s="7" t="str">
        <f>Kapilar!K71</f>
        <v>test</v>
      </c>
      <c r="E71" s="8">
        <f>SUMPRODUCT(Puanlar!$C$3:$AB$3,Puanlar!C71:AB71)/5</f>
        <v>53</v>
      </c>
      <c r="F71" s="8">
        <f>SUMIF(Puanlar!C71:AB71,"&gt;=0",Puanlar!$C$3:$AB$3)</f>
        <v>100</v>
      </c>
      <c r="G71" s="8">
        <f>SUMPRODUCT(Puanlar!$C$3:$AB$3,Puanlar!C71:AB71,Guven!C71:AB71)/5</f>
        <v>19.14</v>
      </c>
      <c r="H71" s="9">
        <f>SUMPRODUCT(Puanlar!$C$3:$AB$3,Kanit!C71:AB71)/SUM(Puanlar!$C$3:$AB$3)</f>
        <v>0.31</v>
      </c>
      <c r="I71" s="8">
        <f>SUMPRODUCT(Puanlar!$AD$3:$AG$3,Puanlar!AD71:AG71)/5</f>
        <v>50</v>
      </c>
      <c r="J71" s="10">
        <f>Finans!AB71</f>
        <v>-900</v>
      </c>
      <c r="K71" s="5">
        <f>Kanit!H71</f>
        <v>1</v>
      </c>
      <c r="L71" s="5">
        <f>IF(E71&gt;=Hedef!$C$10,1,0)</f>
        <v>1</v>
      </c>
      <c r="M71" s="5">
        <f>IF(AND(J71&gt;=Hedef!$C$5*Hedef!$C$11,Finans!AE71&lt;=Hedef!$C$14),1,0)</f>
        <v>0</v>
      </c>
      <c r="N71" s="7" t="str">
        <f>IF(D71="kaldi","Kapıda kaldı",IF(AND(D71="gecti",L71=1,K71&gt;=Hedef!$C$13,J71&gt;=Hedef!$C$5),"Yatırım yap",IF(AND(L71=1,M71=1),"Önce test et",IF(OR(L71=1,M71=1),"Değiştir",IF(I71&gt;=Hedef!$C$12,"Beklet","Bırak")))))</f>
        <v>Değiştir</v>
      </c>
      <c r="O71" s="5">
        <f>IF(N71="Yatırım yap",0,IF(N71="Önce test et",1,IF(N71="Değiştir",2,IF(N71="Beklet",3,IF(N71="Bırak",4,9)))))</f>
        <v>2</v>
      </c>
      <c r="P71" s="22">
        <f>IF(D71="kaldi","",O71*1000-G71+71/1000000000)</f>
        <v>1980.860000071</v>
      </c>
      <c r="Q71" s="5">
        <f>IF(D71="kaldi","",1+COUNTIF($P$5:$P$136,"&lt;"&amp;P71))</f>
        <v>41</v>
      </c>
      <c r="R71" s="23">
        <f>IF(D71="kaldi","",E71*(1-IF(E71&gt;0,G71/E71,0))/MAX(1,Deneyler!F71))</f>
        <v>0.8465000000000001</v>
      </c>
      <c r="S71" s="22">
        <f>IF(D71="kaldi","",-R71+71/1000000000)</f>
        <v>-0.8464999290000002</v>
      </c>
      <c r="T71" s="5">
        <f>IF(D71="kaldi","",1+COUNTIF($S$5:$S$136,"&lt;"&amp;S71))</f>
        <v>80</v>
      </c>
    </row>
    <row r="72">
      <c r="A72" s="7" t="str">
        <f>Secenekler!A72</f>
        <v>atonota-denetim-c</v>
      </c>
      <c r="B72" s="7" t="str">
        <f>Secenekler!C72</f>
        <v>Ajans için müşteri kabul ve teslim kaydı hizmeti (pilot)</v>
      </c>
      <c r="C72" s="7" t="str">
        <f>Secenekler!B72</f>
        <v>WordPress site sağlığı ve pazarlama denetimi eklentisi (atonota)</v>
      </c>
      <c r="D72" s="7" t="str">
        <f>Kapilar!K72</f>
        <v>kaldi</v>
      </c>
      <c r="E72" s="8">
        <f>SUMPRODUCT(Puanlar!$C$3:$AB$3,Puanlar!C72:AB72)/5</f>
        <v>42.2</v>
      </c>
      <c r="F72" s="8">
        <f>SUMIF(Puanlar!C72:AB72,"&gt;=0",Puanlar!$C$3:$AB$3)</f>
        <v>100</v>
      </c>
      <c r="G72" s="8">
        <f>SUMPRODUCT(Puanlar!$C$3:$AB$3,Puanlar!C72:AB72,Guven!C72:AB72)/5</f>
        <v>12.98</v>
      </c>
      <c r="H72" s="9">
        <f>SUMPRODUCT(Puanlar!$C$3:$AB$3,Kanit!C72:AB72)/SUM(Puanlar!$C$3:$AB$3)</f>
        <v>0.04</v>
      </c>
      <c r="I72" s="8">
        <f>SUMPRODUCT(Puanlar!$AD$3:$AG$3,Puanlar!AD72:AG72)/5</f>
        <v>45</v>
      </c>
      <c r="J72" s="10">
        <f>Finans!AB72</f>
        <v>-2850</v>
      </c>
      <c r="K72" s="5">
        <f>Kanit!H72</f>
        <v>0</v>
      </c>
      <c r="L72" s="5">
        <f>IF(E72&gt;=Hedef!$C$10,1,0)</f>
        <v>0</v>
      </c>
      <c r="M72" s="5">
        <f>IF(AND(J72&gt;=Hedef!$C$5*Hedef!$C$11,Finans!AE72&lt;=Hedef!$C$14),1,0)</f>
        <v>0</v>
      </c>
      <c r="N72" s="7" t="str">
        <f>IF(D72="kaldi","Kapıda kaldı",IF(AND(D72="gecti",L72=1,K72&gt;=Hedef!$C$13,J72&gt;=Hedef!$C$5),"Yatırım yap",IF(AND(L72=1,M72=1),"Önce test et",IF(OR(L72=1,M72=1),"Değiştir",IF(I72&gt;=Hedef!$C$12,"Beklet","Bırak")))))</f>
        <v>Kapıda kaldı</v>
      </c>
      <c r="O72" s="5">
        <f>IF(N72="Yatırım yap",0,IF(N72="Önce test et",1,IF(N72="Değiştir",2,IF(N72="Beklet",3,IF(N72="Bırak",4,9)))))</f>
        <v>9</v>
      </c>
      <c r="P72" s="22" t="str">
        <f>IF(D72="kaldi","",O72*1000-G72+72/1000000000)</f>
        <v/>
      </c>
      <c r="Q72" s="5" t="str">
        <f>IF(D72="kaldi","",1+COUNTIF($P$5:$P$136,"&lt;"&amp;P72))</f>
        <v/>
      </c>
      <c r="R72" s="23" t="str">
        <f>IF(D72="kaldi","",E72*(1-IF(E72&gt;0,G72/E72,0))/MAX(1,Deneyler!F72))</f>
        <v/>
      </c>
      <c r="S72" s="22" t="str">
        <f>IF(D72="kaldi","",-R72+72/1000000000)</f>
        <v/>
      </c>
      <c r="T72" s="5" t="str">
        <f>IF(D72="kaldi","",1+COUNTIF($S$5:$S$136,"&lt;"&amp;S72))</f>
        <v/>
      </c>
    </row>
    <row r="73">
      <c r="A73" s="7" t="str">
        <f>Secenekler!A73</f>
        <v>b2b-bilesenler-a</v>
      </c>
      <c r="B73" s="7" t="str">
        <f>Secenekler!C73</f>
        <v>Site paketine ek: ürün sayfası ve hareket blokları</v>
      </c>
      <c r="C73" s="7" t="str">
        <f>Secenekler!B73</f>
        <v>B2B ürün sayfası ve animasyon bileşenleri</v>
      </c>
      <c r="D73" s="7" t="str">
        <f>Kapilar!K73</f>
        <v>test</v>
      </c>
      <c r="E73" s="8">
        <f>SUMPRODUCT(Puanlar!$C$3:$AB$3,Puanlar!C73:AB73)/5</f>
        <v>51.8</v>
      </c>
      <c r="F73" s="8">
        <f>SUMIF(Puanlar!C73:AB73,"&gt;=0",Puanlar!$C$3:$AB$3)</f>
        <v>100</v>
      </c>
      <c r="G73" s="8">
        <f>SUMPRODUCT(Puanlar!$C$3:$AB$3,Puanlar!C73:AB73,Guven!C73:AB73)/5</f>
        <v>18.46</v>
      </c>
      <c r="H73" s="9">
        <f>SUMPRODUCT(Puanlar!$C$3:$AB$3,Kanit!C73:AB73)/SUM(Puanlar!$C$3:$AB$3)</f>
        <v>0.21</v>
      </c>
      <c r="I73" s="8">
        <f>SUMPRODUCT(Puanlar!$AD$3:$AG$3,Puanlar!AD73:AG73)/5</f>
        <v>45</v>
      </c>
      <c r="J73" s="10">
        <f>Finans!AB73</f>
        <v>13500</v>
      </c>
      <c r="K73" s="5">
        <f>Kanit!H73</f>
        <v>0</v>
      </c>
      <c r="L73" s="5">
        <f>IF(E73&gt;=Hedef!$C$10,1,0)</f>
        <v>1</v>
      </c>
      <c r="M73" s="5">
        <f>IF(AND(J73&gt;=Hedef!$C$5*Hedef!$C$11,Finans!AE73&lt;=Hedef!$C$14),1,0)</f>
        <v>0</v>
      </c>
      <c r="N73" s="7" t="str">
        <f>IF(D73="kaldi","Kapıda kaldı",IF(AND(D73="gecti",L73=1,K73&gt;=Hedef!$C$13,J73&gt;=Hedef!$C$5),"Yatırım yap",IF(AND(L73=1,M73=1),"Önce test et",IF(OR(L73=1,M73=1),"Değiştir",IF(I73&gt;=Hedef!$C$12,"Beklet","Bırak")))))</f>
        <v>Değiştir</v>
      </c>
      <c r="O73" s="5">
        <f>IF(N73="Yatırım yap",0,IF(N73="Önce test et",1,IF(N73="Değiştir",2,IF(N73="Beklet",3,IF(N73="Bırak",4,9)))))</f>
        <v>2</v>
      </c>
      <c r="P73" s="22">
        <f>IF(D73="kaldi","",O73*1000-G73+73/1000000000)</f>
        <v>1981.540000073</v>
      </c>
      <c r="Q73" s="5">
        <f>IF(D73="kaldi","",1+COUNTIF($P$5:$P$136,"&lt;"&amp;P73))</f>
        <v>48</v>
      </c>
      <c r="R73" s="23">
        <f>IF(D73="kaldi","",E73*(1-IF(E73&gt;0,G73/E73,0))/MAX(1,Deneyler!F73))</f>
        <v>0.8334999999999999</v>
      </c>
      <c r="S73" s="22">
        <f>IF(D73="kaldi","",-R73+73/1000000000)</f>
        <v>-0.8334999269999999</v>
      </c>
      <c r="T73" s="5">
        <f>IF(D73="kaldi","",1+COUNTIF($S$5:$S$136,"&lt;"&amp;S73))</f>
        <v>84</v>
      </c>
    </row>
    <row r="74">
      <c r="A74" s="7" t="str">
        <f>Secenekler!A74</f>
        <v>b2b-bilesenler-b</v>
      </c>
      <c r="B74" s="7" t="str">
        <f>Secenekler!C74</f>
        <v>Tek ürün, iki mobil alıcı görünümü (sabit paket)</v>
      </c>
      <c r="C74" s="7" t="str">
        <f>Secenekler!B74</f>
        <v>B2B ürün sayfası ve animasyon bileşenleri</v>
      </c>
      <c r="D74" s="7" t="str">
        <f>Kapilar!K74</f>
        <v>test</v>
      </c>
      <c r="E74" s="8">
        <f>SUMPRODUCT(Puanlar!$C$3:$AB$3,Puanlar!C74:AB74)/5</f>
        <v>43.6</v>
      </c>
      <c r="F74" s="8">
        <f>SUMIF(Puanlar!C74:AB74,"&gt;=0",Puanlar!$C$3:$AB$3)</f>
        <v>100</v>
      </c>
      <c r="G74" s="8">
        <f>SUMPRODUCT(Puanlar!$C$3:$AB$3,Puanlar!C74:AB74,Guven!C74:AB74)/5</f>
        <v>13.92</v>
      </c>
      <c r="H74" s="9">
        <f>SUMPRODUCT(Puanlar!$C$3:$AB$3,Kanit!C74:AB74)/SUM(Puanlar!$C$3:$AB$3)</f>
        <v>0.07</v>
      </c>
      <c r="I74" s="8">
        <f>SUMPRODUCT(Puanlar!$AD$3:$AG$3,Puanlar!AD74:AG74)/5</f>
        <v>40</v>
      </c>
      <c r="J74" s="10">
        <f>Finans!AB74</f>
        <v>6600</v>
      </c>
      <c r="K74" s="5">
        <f>Kanit!H74</f>
        <v>0</v>
      </c>
      <c r="L74" s="5">
        <f>IF(E74&gt;=Hedef!$C$10,1,0)</f>
        <v>0</v>
      </c>
      <c r="M74" s="5">
        <f>IF(AND(J74&gt;=Hedef!$C$5*Hedef!$C$11,Finans!AE74&lt;=Hedef!$C$14),1,0)</f>
        <v>0</v>
      </c>
      <c r="N74" s="7" t="str">
        <f>IF(D74="kaldi","Kapıda kaldı",IF(AND(D74="gecti",L74=1,K74&gt;=Hedef!$C$13,J74&gt;=Hedef!$C$5),"Yatırım yap",IF(AND(L74=1,M74=1),"Önce test et",IF(OR(L74=1,M74=1),"Değiştir",IF(I74&gt;=Hedef!$C$12,"Beklet","Bırak")))))</f>
        <v>Bırak</v>
      </c>
      <c r="O74" s="5">
        <f>IF(N74="Yatırım yap",0,IF(N74="Önce test et",1,IF(N74="Değiştir",2,IF(N74="Beklet",3,IF(N74="Bırak",4,9)))))</f>
        <v>4</v>
      </c>
      <c r="P74" s="22">
        <f>IF(D74="kaldi","",O74*1000-G74+74/1000000000)</f>
        <v>3986.080000074</v>
      </c>
      <c r="Q74" s="5">
        <f>IF(D74="kaldi","",1+COUNTIF($P$5:$P$136,"&lt;"&amp;P74))</f>
        <v>102</v>
      </c>
      <c r="R74" s="23">
        <f>IF(D74="kaldi","",E74*(1-IF(E74&gt;0,G74/E74,0))/MAX(1,Deneyler!F74))</f>
        <v>1.1872</v>
      </c>
      <c r="S74" s="22">
        <f>IF(D74="kaldi","",-R74+74/1000000000)</f>
        <v>-1.187199926</v>
      </c>
      <c r="T74" s="5">
        <f>IF(D74="kaldi","",1+COUNTIF($S$5:$S$136,"&lt;"&amp;S74))</f>
        <v>56</v>
      </c>
    </row>
    <row r="75">
      <c r="A75" s="7" t="str">
        <f>Secenekler!A75</f>
        <v>b2b-bilesenler-c</v>
      </c>
      <c r="B75" s="7" t="str">
        <f>Secenekler!C75</f>
        <v>Astro ve Tailwind ürün sayfası şablonu (kod satışı)</v>
      </c>
      <c r="C75" s="7" t="str">
        <f>Secenekler!B75</f>
        <v>B2B ürün sayfası ve animasyon bileşenleri</v>
      </c>
      <c r="D75" s="7" t="str">
        <f>Kapilar!K75</f>
        <v>test</v>
      </c>
      <c r="E75" s="8">
        <f>SUMPRODUCT(Puanlar!$C$3:$AB$3,Puanlar!C75:AB75)/5</f>
        <v>50.6</v>
      </c>
      <c r="F75" s="8">
        <f>SUMIF(Puanlar!C75:AB75,"&gt;=0",Puanlar!$C$3:$AB$3)</f>
        <v>100</v>
      </c>
      <c r="G75" s="8">
        <f>SUMPRODUCT(Puanlar!$C$3:$AB$3,Puanlar!C75:AB75,Guven!C75:AB75)/5</f>
        <v>18.62</v>
      </c>
      <c r="H75" s="9">
        <f>SUMPRODUCT(Puanlar!$C$3:$AB$3,Kanit!C75:AB75)/SUM(Puanlar!$C$3:$AB$3)</f>
        <v>0.36</v>
      </c>
      <c r="I75" s="8">
        <f>SUMPRODUCT(Puanlar!$AD$3:$AG$3,Puanlar!AD75:AG75)/5</f>
        <v>50</v>
      </c>
      <c r="J75" s="10">
        <f>Finans!AB75</f>
        <v>-9080</v>
      </c>
      <c r="K75" s="5">
        <f>Kanit!H75</f>
        <v>1</v>
      </c>
      <c r="L75" s="5">
        <f>IF(E75&gt;=Hedef!$C$10,1,0)</f>
        <v>1</v>
      </c>
      <c r="M75" s="5">
        <f>IF(AND(J75&gt;=Hedef!$C$5*Hedef!$C$11,Finans!AE75&lt;=Hedef!$C$14),1,0)</f>
        <v>0</v>
      </c>
      <c r="N75" s="7" t="str">
        <f>IF(D75="kaldi","Kapıda kaldı",IF(AND(D75="gecti",L75=1,K75&gt;=Hedef!$C$13,J75&gt;=Hedef!$C$5),"Yatırım yap",IF(AND(L75=1,M75=1),"Önce test et",IF(OR(L75=1,M75=1),"Değiştir",IF(I75&gt;=Hedef!$C$12,"Beklet","Bırak")))))</f>
        <v>Değiştir</v>
      </c>
      <c r="O75" s="5">
        <f>IF(N75="Yatırım yap",0,IF(N75="Önce test et",1,IF(N75="Değiştir",2,IF(N75="Beklet",3,IF(N75="Bırak",4,9)))))</f>
        <v>2</v>
      </c>
      <c r="P75" s="22">
        <f>IF(D75="kaldi","",O75*1000-G75+75/1000000000)</f>
        <v>1981.380000075</v>
      </c>
      <c r="Q75" s="5">
        <f>IF(D75="kaldi","",1+COUNTIF($P$5:$P$136,"&lt;"&amp;P75))</f>
        <v>47</v>
      </c>
      <c r="R75" s="23">
        <f>IF(D75="kaldi","",E75*(1-IF(E75&gt;0,G75/E75,0))/MAX(1,Deneyler!F75))</f>
        <v>0.7995000000000002</v>
      </c>
      <c r="S75" s="22">
        <f>IF(D75="kaldi","",-R75+75/1000000000)</f>
        <v>-0.7994999250000002</v>
      </c>
      <c r="T75" s="5">
        <f>IF(D75="kaldi","",1+COUNTIF($S$5:$S$136,"&lt;"&amp;S75))</f>
        <v>89</v>
      </c>
    </row>
    <row r="76">
      <c r="A76" s="7" t="str">
        <f>Secenekler!A76</f>
        <v>banner-post-a</v>
      </c>
      <c r="B76" s="7" t="str">
        <f>Secenekler!C76</f>
        <v>Zabuno içinde kampanya görseli modülü</v>
      </c>
      <c r="C76" s="7" t="str">
        <f>Secenekler!B76</f>
        <v>Banner ve gönderi üretim sistemi</v>
      </c>
      <c r="D76" s="7" t="str">
        <f>Kapilar!K76</f>
        <v>test</v>
      </c>
      <c r="E76" s="8">
        <f>SUMPRODUCT(Puanlar!$C$3:$AB$3,Puanlar!C76:AB76)/5</f>
        <v>49.6</v>
      </c>
      <c r="F76" s="8">
        <f>SUMIF(Puanlar!C76:AB76,"&gt;=0",Puanlar!$C$3:$AB$3)</f>
        <v>100</v>
      </c>
      <c r="G76" s="8">
        <f>SUMPRODUCT(Puanlar!$C$3:$AB$3,Puanlar!C76:AB76,Guven!C76:AB76)/5</f>
        <v>17.08</v>
      </c>
      <c r="H76" s="9">
        <f>SUMPRODUCT(Puanlar!$C$3:$AB$3,Kanit!C76:AB76)/SUM(Puanlar!$C$3:$AB$3)</f>
        <v>0.25</v>
      </c>
      <c r="I76" s="8">
        <f>SUMPRODUCT(Puanlar!$AD$3:$AG$3,Puanlar!AD76:AG76)/5</f>
        <v>60</v>
      </c>
      <c r="J76" s="10">
        <f>Finans!AB76</f>
        <v>-25650</v>
      </c>
      <c r="K76" s="5">
        <f>Kanit!H76</f>
        <v>0</v>
      </c>
      <c r="L76" s="5">
        <f>IF(E76&gt;=Hedef!$C$10,1,0)</f>
        <v>1</v>
      </c>
      <c r="M76" s="5">
        <f>IF(AND(J76&gt;=Hedef!$C$5*Hedef!$C$11,Finans!AE76&lt;=Hedef!$C$14),1,0)</f>
        <v>0</v>
      </c>
      <c r="N76" s="7" t="str">
        <f>IF(D76="kaldi","Kapıda kaldı",IF(AND(D76="gecti",L76=1,K76&gt;=Hedef!$C$13,J76&gt;=Hedef!$C$5),"Yatırım yap",IF(AND(L76=1,M76=1),"Önce test et",IF(OR(L76=1,M76=1),"Değiştir",IF(I76&gt;=Hedef!$C$12,"Beklet","Bırak")))))</f>
        <v>Değiştir</v>
      </c>
      <c r="O76" s="5">
        <f>IF(N76="Yatırım yap",0,IF(N76="Önce test et",1,IF(N76="Değiştir",2,IF(N76="Beklet",3,IF(N76="Bırak",4,9)))))</f>
        <v>2</v>
      </c>
      <c r="P76" s="22">
        <f>IF(D76="kaldi","",O76*1000-G76+76/1000000000)</f>
        <v>1982.920000076</v>
      </c>
      <c r="Q76" s="5">
        <f>IF(D76="kaldi","",1+COUNTIF($P$5:$P$136,"&lt;"&amp;P76))</f>
        <v>63</v>
      </c>
      <c r="R76" s="23">
        <f>IF(D76="kaldi","",E76*(1-IF(E76&gt;0,G76/E76,0))/MAX(1,Deneyler!F76))</f>
        <v>2.168</v>
      </c>
      <c r="S76" s="22">
        <f>IF(D76="kaldi","",-R76+76/1000000000)</f>
        <v>-2.167999924</v>
      </c>
      <c r="T76" s="5">
        <f>IF(D76="kaldi","",1+COUNTIF($S$5:$S$136,"&lt;"&amp;S76))</f>
        <v>19</v>
      </c>
    </row>
    <row r="77">
      <c r="A77" s="7" t="str">
        <f>Secenekler!A77</f>
        <v>banner-post-b</v>
      </c>
      <c r="B77" s="7" t="str">
        <f>Secenekler!C77</f>
        <v>Sosyal görsel hizmet paketi (sabit kapsam)</v>
      </c>
      <c r="C77" s="7" t="str">
        <f>Secenekler!B77</f>
        <v>Banner ve gönderi üretim sistemi</v>
      </c>
      <c r="D77" s="7" t="str">
        <f>Kapilar!K77</f>
        <v>test</v>
      </c>
      <c r="E77" s="8">
        <f>SUMPRODUCT(Puanlar!$C$3:$AB$3,Puanlar!C77:AB77)/5</f>
        <v>51</v>
      </c>
      <c r="F77" s="8">
        <f>SUMIF(Puanlar!C77:AB77,"&gt;=0",Puanlar!$C$3:$AB$3)</f>
        <v>100</v>
      </c>
      <c r="G77" s="8">
        <f>SUMPRODUCT(Puanlar!$C$3:$AB$3,Puanlar!C77:AB77,Guven!C77:AB77)/5</f>
        <v>18.38</v>
      </c>
      <c r="H77" s="9">
        <f>SUMPRODUCT(Puanlar!$C$3:$AB$3,Kanit!C77:AB77)/SUM(Puanlar!$C$3:$AB$3)</f>
        <v>0.26</v>
      </c>
      <c r="I77" s="8">
        <f>SUMPRODUCT(Puanlar!$AD$3:$AG$3,Puanlar!AD77:AG77)/5</f>
        <v>35</v>
      </c>
      <c r="J77" s="10">
        <f>Finans!AB77</f>
        <v>7800</v>
      </c>
      <c r="K77" s="5">
        <f>Kanit!H77</f>
        <v>0</v>
      </c>
      <c r="L77" s="5">
        <f>IF(E77&gt;=Hedef!$C$10,1,0)</f>
        <v>1</v>
      </c>
      <c r="M77" s="5">
        <f>IF(AND(J77&gt;=Hedef!$C$5*Hedef!$C$11,Finans!AE77&lt;=Hedef!$C$14),1,0)</f>
        <v>0</v>
      </c>
      <c r="N77" s="7" t="str">
        <f>IF(D77="kaldi","Kapıda kaldı",IF(AND(D77="gecti",L77=1,K77&gt;=Hedef!$C$13,J77&gt;=Hedef!$C$5),"Yatırım yap",IF(AND(L77=1,M77=1),"Önce test et",IF(OR(L77=1,M77=1),"Değiştir",IF(I77&gt;=Hedef!$C$12,"Beklet","Bırak")))))</f>
        <v>Değiştir</v>
      </c>
      <c r="O77" s="5">
        <f>IF(N77="Yatırım yap",0,IF(N77="Önce test et",1,IF(N77="Değiştir",2,IF(N77="Beklet",3,IF(N77="Bırak",4,9)))))</f>
        <v>2</v>
      </c>
      <c r="P77" s="22">
        <f>IF(D77="kaldi","",O77*1000-G77+77/1000000000)</f>
        <v>1981.620000077</v>
      </c>
      <c r="Q77" s="5">
        <f>IF(D77="kaldi","",1+COUNTIF($P$5:$P$136,"&lt;"&amp;P77))</f>
        <v>49</v>
      </c>
      <c r="R77" s="23">
        <f>IF(D77="kaldi","",E77*(1-IF(E77&gt;0,G77/E77,0))/MAX(1,Deneyler!F77))</f>
        <v>2.718333333333334</v>
      </c>
      <c r="S77" s="22">
        <f>IF(D77="kaldi","",-R77+77/1000000000)</f>
        <v>-2.718333256333334</v>
      </c>
      <c r="T77" s="5">
        <f>IF(D77="kaldi","",1+COUNTIF($S$5:$S$136,"&lt;"&amp;S77))</f>
        <v>9</v>
      </c>
    </row>
    <row r="78">
      <c r="A78" s="7" t="str">
        <f>Secenekler!A78</f>
        <v>banner-post-c</v>
      </c>
      <c r="B78" s="7" t="str">
        <f>Secenekler!C78</f>
        <v>Ajanslara toplu banner paketi (CSV)</v>
      </c>
      <c r="C78" s="7" t="str">
        <f>Secenekler!B78</f>
        <v>Banner ve gönderi üretim sistemi</v>
      </c>
      <c r="D78" s="7" t="str">
        <f>Kapilar!K78</f>
        <v>test</v>
      </c>
      <c r="E78" s="8">
        <f>SUMPRODUCT(Puanlar!$C$3:$AB$3,Puanlar!C78:AB78)/5</f>
        <v>44.2</v>
      </c>
      <c r="F78" s="8">
        <f>SUMIF(Puanlar!C78:AB78,"&gt;=0",Puanlar!$C$3:$AB$3)</f>
        <v>100</v>
      </c>
      <c r="G78" s="8">
        <f>SUMPRODUCT(Puanlar!$C$3:$AB$3,Puanlar!C78:AB78,Guven!C78:AB78)/5</f>
        <v>14.46</v>
      </c>
      <c r="H78" s="9">
        <f>SUMPRODUCT(Puanlar!$C$3:$AB$3,Kanit!C78:AB78)/SUM(Puanlar!$C$3:$AB$3)</f>
        <v>0.13</v>
      </c>
      <c r="I78" s="8">
        <f>SUMPRODUCT(Puanlar!$AD$3:$AG$3,Puanlar!AD78:AG78)/5</f>
        <v>35</v>
      </c>
      <c r="J78" s="10">
        <f>Finans!AB78</f>
        <v>3000</v>
      </c>
      <c r="K78" s="5">
        <f>Kanit!H78</f>
        <v>0</v>
      </c>
      <c r="L78" s="5">
        <f>IF(E78&gt;=Hedef!$C$10,1,0)</f>
        <v>0</v>
      </c>
      <c r="M78" s="5">
        <f>IF(AND(J78&gt;=Hedef!$C$5*Hedef!$C$11,Finans!AE78&lt;=Hedef!$C$14),1,0)</f>
        <v>0</v>
      </c>
      <c r="N78" s="7" t="str">
        <f>IF(D78="kaldi","Kapıda kaldı",IF(AND(D78="gecti",L78=1,K78&gt;=Hedef!$C$13,J78&gt;=Hedef!$C$5),"Yatırım yap",IF(AND(L78=1,M78=1),"Önce test et",IF(OR(L78=1,M78=1),"Değiştir",IF(I78&gt;=Hedef!$C$12,"Beklet","Bırak")))))</f>
        <v>Bırak</v>
      </c>
      <c r="O78" s="5">
        <f>IF(N78="Yatırım yap",0,IF(N78="Önce test et",1,IF(N78="Değiştir",2,IF(N78="Beklet",3,IF(N78="Bırak",4,9)))))</f>
        <v>4</v>
      </c>
      <c r="P78" s="22">
        <f>IF(D78="kaldi","",O78*1000-G78+78/1000000000)</f>
        <v>3985.540000078</v>
      </c>
      <c r="Q78" s="5">
        <f>IF(D78="kaldi","",1+COUNTIF($P$5:$P$136,"&lt;"&amp;P78))</f>
        <v>100</v>
      </c>
      <c r="R78" s="23">
        <f>IF(D78="kaldi","",E78*(1-IF(E78&gt;0,G78/E78,0))/MAX(1,Deneyler!F78))</f>
        <v>1.487</v>
      </c>
      <c r="S78" s="22">
        <f>IF(D78="kaldi","",-R78+78/1000000000)</f>
        <v>-1.486999922</v>
      </c>
      <c r="T78" s="5">
        <f>IF(D78="kaldi","",1+COUNTIF($S$5:$S$136,"&lt;"&amp;S78))</f>
        <v>39</v>
      </c>
    </row>
    <row r="79">
      <c r="A79" s="7" t="str">
        <f>Secenekler!A79</f>
        <v>karar-sihirbazi-a</v>
      </c>
      <c r="B79" s="7" t="str">
        <f>Secenekler!C79</f>
        <v>Ajanslara white-label keşif sihirbazı aboneliği</v>
      </c>
      <c r="C79" s="7" t="str">
        <f>Secenekler!B79</f>
        <v>Teknoloji yığını karar sihirbazı</v>
      </c>
      <c r="D79" s="7" t="str">
        <f>Kapilar!K79</f>
        <v>kaldi</v>
      </c>
      <c r="E79" s="8">
        <f>SUMPRODUCT(Puanlar!$C$3:$AB$3,Puanlar!C79:AB79)/5</f>
        <v>47.2</v>
      </c>
      <c r="F79" s="8">
        <f>SUMIF(Puanlar!C79:AB79,"&gt;=0",Puanlar!$C$3:$AB$3)</f>
        <v>100</v>
      </c>
      <c r="G79" s="8">
        <f>SUMPRODUCT(Puanlar!$C$3:$AB$3,Puanlar!C79:AB79,Guven!C79:AB79)/5</f>
        <v>17.32</v>
      </c>
      <c r="H79" s="9">
        <f>SUMPRODUCT(Puanlar!$C$3:$AB$3,Kanit!C79:AB79)/SUM(Puanlar!$C$3:$AB$3)</f>
        <v>0.42</v>
      </c>
      <c r="I79" s="8">
        <f>SUMPRODUCT(Puanlar!$AD$3:$AG$3,Puanlar!AD79:AG79)/5</f>
        <v>50</v>
      </c>
      <c r="J79" s="10">
        <f>Finans!AB79</f>
        <v>-56140</v>
      </c>
      <c r="K79" s="5">
        <f>Kanit!H79</f>
        <v>1</v>
      </c>
      <c r="L79" s="5">
        <f>IF(E79&gt;=Hedef!$C$10,1,0)</f>
        <v>1</v>
      </c>
      <c r="M79" s="5">
        <f>IF(AND(J79&gt;=Hedef!$C$5*Hedef!$C$11,Finans!AE79&lt;=Hedef!$C$14),1,0)</f>
        <v>0</v>
      </c>
      <c r="N79" s="7" t="str">
        <f>IF(D79="kaldi","Kapıda kaldı",IF(AND(D79="gecti",L79=1,K79&gt;=Hedef!$C$13,J79&gt;=Hedef!$C$5),"Yatırım yap",IF(AND(L79=1,M79=1),"Önce test et",IF(OR(L79=1,M79=1),"Değiştir",IF(I79&gt;=Hedef!$C$12,"Beklet","Bırak")))))</f>
        <v>Kapıda kaldı</v>
      </c>
      <c r="O79" s="5">
        <f>IF(N79="Yatırım yap",0,IF(N79="Önce test et",1,IF(N79="Değiştir",2,IF(N79="Beklet",3,IF(N79="Bırak",4,9)))))</f>
        <v>9</v>
      </c>
      <c r="P79" s="22" t="str">
        <f>IF(D79="kaldi","",O79*1000-G79+79/1000000000)</f>
        <v/>
      </c>
      <c r="Q79" s="5" t="str">
        <f>IF(D79="kaldi","",1+COUNTIF($P$5:$P$136,"&lt;"&amp;P79))</f>
        <v/>
      </c>
      <c r="R79" s="23" t="str">
        <f>IF(D79="kaldi","",E79*(1-IF(E79&gt;0,G79/E79,0))/MAX(1,Deneyler!F79))</f>
        <v/>
      </c>
      <c r="S79" s="22" t="str">
        <f>IF(D79="kaldi","",-R79+79/1000000000)</f>
        <v/>
      </c>
      <c r="T79" s="5" t="str">
        <f>IF(D79="kaldi","",1+COUNTIF($S$5:$S$136,"&lt;"&amp;S79))</f>
        <v/>
      </c>
    </row>
    <row r="80">
      <c r="A80" s="7" t="str">
        <f>Secenekler!A80</f>
        <v>karar-sihirbazi-b</v>
      </c>
      <c r="B80" s="7" t="str">
        <f>Secenekler!C80</f>
        <v>Proje başı stack karar dosyası (sabit kapsamlı hizmet)</v>
      </c>
      <c r="C80" s="7" t="str">
        <f>Secenekler!B80</f>
        <v>Teknoloji yığını karar sihirbazı</v>
      </c>
      <c r="D80" s="7" t="str">
        <f>Kapilar!K80</f>
        <v>test</v>
      </c>
      <c r="E80" s="8">
        <f>SUMPRODUCT(Puanlar!$C$3:$AB$3,Puanlar!C80:AB80)/5</f>
        <v>50.8</v>
      </c>
      <c r="F80" s="8">
        <f>SUMIF(Puanlar!C80:AB80,"&gt;=0",Puanlar!$C$3:$AB$3)</f>
        <v>100</v>
      </c>
      <c r="G80" s="8">
        <f>SUMPRODUCT(Puanlar!$C$3:$AB$3,Puanlar!C80:AB80,Guven!C80:AB80)/5</f>
        <v>18.2</v>
      </c>
      <c r="H80" s="9">
        <f>SUMPRODUCT(Puanlar!$C$3:$AB$3,Kanit!C80:AB80)/SUM(Puanlar!$C$3:$AB$3)</f>
        <v>0.27</v>
      </c>
      <c r="I80" s="8">
        <f>SUMPRODUCT(Puanlar!$AD$3:$AG$3,Puanlar!AD80:AG80)/5</f>
        <v>35</v>
      </c>
      <c r="J80" s="10">
        <f>Finans!AB80</f>
        <v>-4000</v>
      </c>
      <c r="K80" s="5">
        <f>Kanit!H80</f>
        <v>0</v>
      </c>
      <c r="L80" s="5">
        <f>IF(E80&gt;=Hedef!$C$10,1,0)</f>
        <v>1</v>
      </c>
      <c r="M80" s="5">
        <f>IF(AND(J80&gt;=Hedef!$C$5*Hedef!$C$11,Finans!AE80&lt;=Hedef!$C$14),1,0)</f>
        <v>0</v>
      </c>
      <c r="N80" s="7" t="str">
        <f>IF(D80="kaldi","Kapıda kaldı",IF(AND(D80="gecti",L80=1,K80&gt;=Hedef!$C$13,J80&gt;=Hedef!$C$5),"Yatırım yap",IF(AND(L80=1,M80=1),"Önce test et",IF(OR(L80=1,M80=1),"Değiştir",IF(I80&gt;=Hedef!$C$12,"Beklet","Bırak")))))</f>
        <v>Değiştir</v>
      </c>
      <c r="O80" s="5">
        <f>IF(N80="Yatırım yap",0,IF(N80="Önce test et",1,IF(N80="Değiştir",2,IF(N80="Beklet",3,IF(N80="Bırak",4,9)))))</f>
        <v>2</v>
      </c>
      <c r="P80" s="22">
        <f>IF(D80="kaldi","",O80*1000-G80+80/1000000000)</f>
        <v>1981.80000008</v>
      </c>
      <c r="Q80" s="5">
        <f>IF(D80="kaldi","",1+COUNTIF($P$5:$P$136,"&lt;"&amp;P80))</f>
        <v>50</v>
      </c>
      <c r="R80" s="23">
        <f>IF(D80="kaldi","",E80*(1-IF(E80&gt;0,G80/E80,0))/MAX(1,Deneyler!F80))</f>
        <v>1.086666666666666</v>
      </c>
      <c r="S80" s="22">
        <f>IF(D80="kaldi","",-R80+80/1000000000)</f>
        <v>-1.086666586666666</v>
      </c>
      <c r="T80" s="5">
        <f>IF(D80="kaldi","",1+COUNTIF($S$5:$S$136,"&lt;"&amp;S80))</f>
        <v>65</v>
      </c>
    </row>
    <row r="81">
      <c r="A81" s="7" t="str">
        <f>Secenekler!A81</f>
        <v>karar-sihirbazi-c</v>
      </c>
      <c r="B81" s="7" t="str">
        <f>Secenekler!C81</f>
        <v>Ajans için uyarlanmış keşif formu kiti (tek seferlik)</v>
      </c>
      <c r="C81" s="7" t="str">
        <f>Secenekler!B81</f>
        <v>Teknoloji yığını karar sihirbazı</v>
      </c>
      <c r="D81" s="7" t="str">
        <f>Kapilar!K81</f>
        <v>test</v>
      </c>
      <c r="E81" s="8">
        <f>SUMPRODUCT(Puanlar!$C$3:$AB$3,Puanlar!C81:AB81)/5</f>
        <v>46</v>
      </c>
      <c r="F81" s="8">
        <f>SUMIF(Puanlar!C81:AB81,"&gt;=0",Puanlar!$C$3:$AB$3)</f>
        <v>100</v>
      </c>
      <c r="G81" s="8">
        <f>SUMPRODUCT(Puanlar!$C$3:$AB$3,Puanlar!C81:AB81,Guven!C81:AB81)/5</f>
        <v>16.28</v>
      </c>
      <c r="H81" s="9">
        <f>SUMPRODUCT(Puanlar!$C$3:$AB$3,Kanit!C81:AB81)/SUM(Puanlar!$C$3:$AB$3)</f>
        <v>0.3</v>
      </c>
      <c r="I81" s="8">
        <f>SUMPRODUCT(Puanlar!$AD$3:$AG$3,Puanlar!AD81:AG81)/5</f>
        <v>40</v>
      </c>
      <c r="J81" s="10">
        <f>Finans!AB81</f>
        <v>-4800</v>
      </c>
      <c r="K81" s="5">
        <f>Kanit!H81</f>
        <v>0</v>
      </c>
      <c r="L81" s="5">
        <f>IF(E81&gt;=Hedef!$C$10,1,0)</f>
        <v>1</v>
      </c>
      <c r="M81" s="5">
        <f>IF(AND(J81&gt;=Hedef!$C$5*Hedef!$C$11,Finans!AE81&lt;=Hedef!$C$14),1,0)</f>
        <v>0</v>
      </c>
      <c r="N81" s="7" t="str">
        <f>IF(D81="kaldi","Kapıda kaldı",IF(AND(D81="gecti",L81=1,K81&gt;=Hedef!$C$13,J81&gt;=Hedef!$C$5),"Yatırım yap",IF(AND(L81=1,M81=1),"Önce test et",IF(OR(L81=1,M81=1),"Değiştir",IF(I81&gt;=Hedef!$C$12,"Beklet","Bırak")))))</f>
        <v>Değiştir</v>
      </c>
      <c r="O81" s="5">
        <f>IF(N81="Yatırım yap",0,IF(N81="Önce test et",1,IF(N81="Değiştir",2,IF(N81="Beklet",3,IF(N81="Bırak",4,9)))))</f>
        <v>2</v>
      </c>
      <c r="P81" s="22">
        <f>IF(D81="kaldi","",O81*1000-G81+81/1000000000)</f>
        <v>1983.720000081</v>
      </c>
      <c r="Q81" s="5">
        <f>IF(D81="kaldi","",1+COUNTIF($P$5:$P$136,"&lt;"&amp;P81))</f>
        <v>74</v>
      </c>
      <c r="R81" s="23">
        <f>IF(D81="kaldi","",E81*(1-IF(E81&gt;0,G81/E81,0))/MAX(1,Deneyler!F81))</f>
        <v>0.4245714285714285</v>
      </c>
      <c r="S81" s="22">
        <f>IF(D81="kaldi","",-R81+81/1000000000)</f>
        <v>-0.4245713475714286</v>
      </c>
      <c r="T81" s="5">
        <f>IF(D81="kaldi","",1+COUNTIF($S$5:$S$136,"&lt;"&amp;S81))</f>
        <v>104</v>
      </c>
    </row>
    <row r="82">
      <c r="A82" s="7" t="str">
        <f>Secenekler!A82</f>
        <v>sunum-bi-hizmeti-a</v>
      </c>
      <c r="B82" s="7" t="str">
        <f>Secenekler!C82</f>
        <v>Katalogdan toplu markalı sunum seti (sabit paket)</v>
      </c>
      <c r="C82" s="7" t="str">
        <f>Secenekler!B82</f>
        <v>Sunum ve iş zekâsı çıktı hizmeti</v>
      </c>
      <c r="D82" s="7" t="str">
        <f>Kapilar!K82</f>
        <v>kaldi</v>
      </c>
      <c r="E82" s="8">
        <f>SUMPRODUCT(Puanlar!$C$3:$AB$3,Puanlar!C82:AB82)/5</f>
        <v>51.2</v>
      </c>
      <c r="F82" s="8">
        <f>SUMIF(Puanlar!C82:AB82,"&gt;=0",Puanlar!$C$3:$AB$3)</f>
        <v>100</v>
      </c>
      <c r="G82" s="8">
        <f>SUMPRODUCT(Puanlar!$C$3:$AB$3,Puanlar!C82:AB82,Guven!C82:AB82)/5</f>
        <v>17.36</v>
      </c>
      <c r="H82" s="9">
        <f>SUMPRODUCT(Puanlar!$C$3:$AB$3,Kanit!C82:AB82)/SUM(Puanlar!$C$3:$AB$3)</f>
        <v>0.18</v>
      </c>
      <c r="I82" s="8">
        <f>SUMPRODUCT(Puanlar!$AD$3:$AG$3,Puanlar!AD82:AG82)/5</f>
        <v>40</v>
      </c>
      <c r="J82" s="10">
        <f>Finans!AB82</f>
        <v>18500</v>
      </c>
      <c r="K82" s="5">
        <f>Kanit!H82</f>
        <v>0</v>
      </c>
      <c r="L82" s="5">
        <f>IF(E82&gt;=Hedef!$C$10,1,0)</f>
        <v>1</v>
      </c>
      <c r="M82" s="5">
        <f>IF(AND(J82&gt;=Hedef!$C$5*Hedef!$C$11,Finans!AE82&lt;=Hedef!$C$14),1,0)</f>
        <v>0</v>
      </c>
      <c r="N82" s="7" t="str">
        <f>IF(D82="kaldi","Kapıda kaldı",IF(AND(D82="gecti",L82=1,K82&gt;=Hedef!$C$13,J82&gt;=Hedef!$C$5),"Yatırım yap",IF(AND(L82=1,M82=1),"Önce test et",IF(OR(L82=1,M82=1),"Değiştir",IF(I82&gt;=Hedef!$C$12,"Beklet","Bırak")))))</f>
        <v>Kapıda kaldı</v>
      </c>
      <c r="O82" s="5">
        <f>IF(N82="Yatırım yap",0,IF(N82="Önce test et",1,IF(N82="Değiştir",2,IF(N82="Beklet",3,IF(N82="Bırak",4,9)))))</f>
        <v>9</v>
      </c>
      <c r="P82" s="22" t="str">
        <f>IF(D82="kaldi","",O82*1000-G82+82/1000000000)</f>
        <v/>
      </c>
      <c r="Q82" s="5" t="str">
        <f>IF(D82="kaldi","",1+COUNTIF($P$5:$P$136,"&lt;"&amp;P82))</f>
        <v/>
      </c>
      <c r="R82" s="23" t="str">
        <f>IF(D82="kaldi","",E82*(1-IF(E82&gt;0,G82/E82,0))/MAX(1,Deneyler!F82))</f>
        <v/>
      </c>
      <c r="S82" s="22" t="str">
        <f>IF(D82="kaldi","",-R82+82/1000000000)</f>
        <v/>
      </c>
      <c r="T82" s="5" t="str">
        <f>IF(D82="kaldi","",1+COUNTIF($S$5:$S$136,"&lt;"&amp;S82))</f>
        <v/>
      </c>
    </row>
    <row r="83">
      <c r="A83" s="7" t="str">
        <f>Secenekler!A83</f>
        <v>sunum-bi-hizmeti-b</v>
      </c>
      <c r="B83" s="7" t="str">
        <f>Secenekler!C83</f>
        <v>Butik ajanslara çok markalı sunum üretim aboneliği</v>
      </c>
      <c r="C83" s="7" t="str">
        <f>Secenekler!B83</f>
        <v>Sunum ve iş zekâsı çıktı hizmeti</v>
      </c>
      <c r="D83" s="7" t="str">
        <f>Kapilar!K83</f>
        <v>kaldi</v>
      </c>
      <c r="E83" s="8">
        <f>SUMPRODUCT(Puanlar!$C$3:$AB$3,Puanlar!C83:AB83)/5</f>
        <v>48</v>
      </c>
      <c r="F83" s="8">
        <f>SUMIF(Puanlar!C83:AB83,"&gt;=0",Puanlar!$C$3:$AB$3)</f>
        <v>100</v>
      </c>
      <c r="G83" s="8">
        <f>SUMPRODUCT(Puanlar!$C$3:$AB$3,Puanlar!C83:AB83,Guven!C83:AB83)/5</f>
        <v>14.72</v>
      </c>
      <c r="H83" s="9">
        <f>SUMPRODUCT(Puanlar!$C$3:$AB$3,Kanit!C83:AB83)/SUM(Puanlar!$C$3:$AB$3)</f>
        <v>0.04</v>
      </c>
      <c r="I83" s="8">
        <f>SUMPRODUCT(Puanlar!$AD$3:$AG$3,Puanlar!AD83:AG83)/5</f>
        <v>45</v>
      </c>
      <c r="J83" s="10">
        <f>Finans!AB83</f>
        <v>-2300</v>
      </c>
      <c r="K83" s="5">
        <f>Kanit!H83</f>
        <v>0</v>
      </c>
      <c r="L83" s="5">
        <f>IF(E83&gt;=Hedef!$C$10,1,0)</f>
        <v>1</v>
      </c>
      <c r="M83" s="5">
        <f>IF(AND(J83&gt;=Hedef!$C$5*Hedef!$C$11,Finans!AE83&lt;=Hedef!$C$14),1,0)</f>
        <v>0</v>
      </c>
      <c r="N83" s="7" t="str">
        <f>IF(D83="kaldi","Kapıda kaldı",IF(AND(D83="gecti",L83=1,K83&gt;=Hedef!$C$13,J83&gt;=Hedef!$C$5),"Yatırım yap",IF(AND(L83=1,M83=1),"Önce test et",IF(OR(L83=1,M83=1),"Değiştir",IF(I83&gt;=Hedef!$C$12,"Beklet","Bırak")))))</f>
        <v>Kapıda kaldı</v>
      </c>
      <c r="O83" s="5">
        <f>IF(N83="Yatırım yap",0,IF(N83="Önce test et",1,IF(N83="Değiştir",2,IF(N83="Beklet",3,IF(N83="Bırak",4,9)))))</f>
        <v>9</v>
      </c>
      <c r="P83" s="22" t="str">
        <f>IF(D83="kaldi","",O83*1000-G83+83/1000000000)</f>
        <v/>
      </c>
      <c r="Q83" s="5" t="str">
        <f>IF(D83="kaldi","",1+COUNTIF($P$5:$P$136,"&lt;"&amp;P83))</f>
        <v/>
      </c>
      <c r="R83" s="23" t="str">
        <f>IF(D83="kaldi","",E83*(1-IF(E83&gt;0,G83/E83,0))/MAX(1,Deneyler!F83))</f>
        <v/>
      </c>
      <c r="S83" s="22" t="str">
        <f>IF(D83="kaldi","",-R83+83/1000000000)</f>
        <v/>
      </c>
      <c r="T83" s="5" t="str">
        <f>IF(D83="kaldi","",1+COUNTIF($S$5:$S$136,"&lt;"&amp;S83))</f>
        <v/>
      </c>
    </row>
    <row r="84">
      <c r="A84" s="7" t="str">
        <f>Secenekler!A84</f>
        <v>sunum-bi-hizmeti-c</v>
      </c>
      <c r="B84" s="7" t="str">
        <f>Secenekler!C84</f>
        <v>Danışmana tek kaynaktan yönetici karar dosyası üretimi</v>
      </c>
      <c r="C84" s="7" t="str">
        <f>Secenekler!B84</f>
        <v>Sunum ve iş zekâsı çıktı hizmeti</v>
      </c>
      <c r="D84" s="7" t="str">
        <f>Kapilar!K84</f>
        <v>kaldi</v>
      </c>
      <c r="E84" s="8">
        <f>SUMPRODUCT(Puanlar!$C$3:$AB$3,Puanlar!C84:AB84)/5</f>
        <v>47</v>
      </c>
      <c r="F84" s="8">
        <f>SUMIF(Puanlar!C84:AB84,"&gt;=0",Puanlar!$C$3:$AB$3)</f>
        <v>100</v>
      </c>
      <c r="G84" s="8">
        <f>SUMPRODUCT(Puanlar!$C$3:$AB$3,Puanlar!C84:AB84,Guven!C84:AB84)/5</f>
        <v>14.42</v>
      </c>
      <c r="H84" s="9">
        <f>SUMPRODUCT(Puanlar!$C$3:$AB$3,Kanit!C84:AB84)/SUM(Puanlar!$C$3:$AB$3)</f>
        <v>0.04</v>
      </c>
      <c r="I84" s="8">
        <f>SUMPRODUCT(Puanlar!$AD$3:$AG$3,Puanlar!AD84:AG84)/5</f>
        <v>35</v>
      </c>
      <c r="J84" s="10">
        <f>Finans!AB84</f>
        <v>10200</v>
      </c>
      <c r="K84" s="5">
        <f>Kanit!H84</f>
        <v>0</v>
      </c>
      <c r="L84" s="5">
        <f>IF(E84&gt;=Hedef!$C$10,1,0)</f>
        <v>1</v>
      </c>
      <c r="M84" s="5">
        <f>IF(AND(J84&gt;=Hedef!$C$5*Hedef!$C$11,Finans!AE84&lt;=Hedef!$C$14),1,0)</f>
        <v>0</v>
      </c>
      <c r="N84" s="7" t="str">
        <f>IF(D84="kaldi","Kapıda kaldı",IF(AND(D84="gecti",L84=1,K84&gt;=Hedef!$C$13,J84&gt;=Hedef!$C$5),"Yatırım yap",IF(AND(L84=1,M84=1),"Önce test et",IF(OR(L84=1,M84=1),"Değiştir",IF(I84&gt;=Hedef!$C$12,"Beklet","Bırak")))))</f>
        <v>Kapıda kaldı</v>
      </c>
      <c r="O84" s="5">
        <f>IF(N84="Yatırım yap",0,IF(N84="Önce test et",1,IF(N84="Değiştir",2,IF(N84="Beklet",3,IF(N84="Bırak",4,9)))))</f>
        <v>9</v>
      </c>
      <c r="P84" s="22" t="str">
        <f>IF(D84="kaldi","",O84*1000-G84+84/1000000000)</f>
        <v/>
      </c>
      <c r="Q84" s="5" t="str">
        <f>IF(D84="kaldi","",1+COUNTIF($P$5:$P$136,"&lt;"&amp;P84))</f>
        <v/>
      </c>
      <c r="R84" s="23" t="str">
        <f>IF(D84="kaldi","",E84*(1-IF(E84&gt;0,G84/E84,0))/MAX(1,Deneyler!F84))</f>
        <v/>
      </c>
      <c r="S84" s="22" t="str">
        <f>IF(D84="kaldi","",-R84+84/1000000000)</f>
        <v/>
      </c>
      <c r="T84" s="5" t="str">
        <f>IF(D84="kaldi","",1+COUNTIF($S$5:$S$136,"&lt;"&amp;S84))</f>
        <v/>
      </c>
    </row>
    <row r="85">
      <c r="A85" s="7" t="str">
        <f>Secenekler!A85</f>
        <v>ik-paneli-hizmeti-a</v>
      </c>
      <c r="B85" s="7" t="str">
        <f>Secenekler!C85</f>
        <v>SaaS satış demosu 7 günde (sabit paket)</v>
      </c>
      <c r="C85" s="7" t="str">
        <f>Secenekler!B85</f>
        <v>İK paneli arayüz hizmeti</v>
      </c>
      <c r="D85" s="7" t="str">
        <f>Kapilar!K85</f>
        <v>kaldi</v>
      </c>
      <c r="E85" s="8">
        <f>SUMPRODUCT(Puanlar!$C$3:$AB$3,Puanlar!C85:AB85)/5</f>
        <v>54.2</v>
      </c>
      <c r="F85" s="8">
        <f>SUMIF(Puanlar!C85:AB85,"&gt;=0",Puanlar!$C$3:$AB$3)</f>
        <v>100</v>
      </c>
      <c r="G85" s="8">
        <f>SUMPRODUCT(Puanlar!$C$3:$AB$3,Puanlar!C85:AB85,Guven!C85:AB85)/5</f>
        <v>19.62</v>
      </c>
      <c r="H85" s="9">
        <f>SUMPRODUCT(Puanlar!$C$3:$AB$3,Kanit!C85:AB85)/SUM(Puanlar!$C$3:$AB$3)</f>
        <v>0.34</v>
      </c>
      <c r="I85" s="8">
        <f>SUMPRODUCT(Puanlar!$AD$3:$AG$3,Puanlar!AD85:AG85)/5</f>
        <v>45</v>
      </c>
      <c r="J85" s="10">
        <f>Finans!AB85</f>
        <v>51000</v>
      </c>
      <c r="K85" s="5">
        <f>Kanit!H85</f>
        <v>1</v>
      </c>
      <c r="L85" s="5">
        <f>IF(E85&gt;=Hedef!$C$10,1,0)</f>
        <v>1</v>
      </c>
      <c r="M85" s="5">
        <f>IF(AND(J85&gt;=Hedef!$C$5*Hedef!$C$11,Finans!AE85&lt;=Hedef!$C$14),1,0)</f>
        <v>0</v>
      </c>
      <c r="N85" s="7" t="str">
        <f>IF(D85="kaldi","Kapıda kaldı",IF(AND(D85="gecti",L85=1,K85&gt;=Hedef!$C$13,J85&gt;=Hedef!$C$5),"Yatırım yap",IF(AND(L85=1,M85=1),"Önce test et",IF(OR(L85=1,M85=1),"Değiştir",IF(I85&gt;=Hedef!$C$12,"Beklet","Bırak")))))</f>
        <v>Kapıda kaldı</v>
      </c>
      <c r="O85" s="5">
        <f>IF(N85="Yatırım yap",0,IF(N85="Önce test et",1,IF(N85="Değiştir",2,IF(N85="Beklet",3,IF(N85="Bırak",4,9)))))</f>
        <v>9</v>
      </c>
      <c r="P85" s="22" t="str">
        <f>IF(D85="kaldi","",O85*1000-G85+85/1000000000)</f>
        <v/>
      </c>
      <c r="Q85" s="5" t="str">
        <f>IF(D85="kaldi","",1+COUNTIF($P$5:$P$136,"&lt;"&amp;P85))</f>
        <v/>
      </c>
      <c r="R85" s="23" t="str">
        <f>IF(D85="kaldi","",E85*(1-IF(E85&gt;0,G85/E85,0))/MAX(1,Deneyler!F85))</f>
        <v/>
      </c>
      <c r="S85" s="22" t="str">
        <f>IF(D85="kaldi","",-R85+85/1000000000)</f>
        <v/>
      </c>
      <c r="T85" s="5" t="str">
        <f>IF(D85="kaldi","",1+COUNTIF($S$5:$S$136,"&lt;"&amp;S85))</f>
        <v/>
      </c>
    </row>
    <row r="86">
      <c r="A86" s="7" t="str">
        <f>Secenekler!A86</f>
        <v>ik-paneli-hizmeti-b</v>
      </c>
      <c r="B86" s="7" t="str">
        <f>Secenekler!C86</f>
        <v>Ajanslara beyaz etiket aylık demo paketi</v>
      </c>
      <c r="C86" s="7" t="str">
        <f>Secenekler!B86</f>
        <v>İK paneli arayüz hizmeti</v>
      </c>
      <c r="D86" s="7" t="str">
        <f>Kapilar!K86</f>
        <v>kaldi</v>
      </c>
      <c r="E86" s="8">
        <f>SUMPRODUCT(Puanlar!$C$3:$AB$3,Puanlar!C86:AB86)/5</f>
        <v>47</v>
      </c>
      <c r="F86" s="8">
        <f>SUMIF(Puanlar!C86:AB86,"&gt;=0",Puanlar!$C$3:$AB$3)</f>
        <v>100</v>
      </c>
      <c r="G86" s="8">
        <f>SUMPRODUCT(Puanlar!$C$3:$AB$3,Puanlar!C86:AB86,Guven!C86:AB86)/5</f>
        <v>14.74</v>
      </c>
      <c r="H86" s="9">
        <f>SUMPRODUCT(Puanlar!$C$3:$AB$3,Kanit!C86:AB86)/SUM(Puanlar!$C$3:$AB$3)</f>
        <v>0.06</v>
      </c>
      <c r="I86" s="8">
        <f>SUMPRODUCT(Puanlar!$AD$3:$AG$3,Puanlar!AD86:AG86)/5</f>
        <v>40</v>
      </c>
      <c r="J86" s="10">
        <f>Finans!AB86</f>
        <v>-44500</v>
      </c>
      <c r="K86" s="5">
        <f>Kanit!H86</f>
        <v>0</v>
      </c>
      <c r="L86" s="5">
        <f>IF(E86&gt;=Hedef!$C$10,1,0)</f>
        <v>1</v>
      </c>
      <c r="M86" s="5">
        <f>IF(AND(J86&gt;=Hedef!$C$5*Hedef!$C$11,Finans!AE86&lt;=Hedef!$C$14),1,0)</f>
        <v>0</v>
      </c>
      <c r="N86" s="7" t="str">
        <f>IF(D86="kaldi","Kapıda kaldı",IF(AND(D86="gecti",L86=1,K86&gt;=Hedef!$C$13,J86&gt;=Hedef!$C$5),"Yatırım yap",IF(AND(L86=1,M86=1),"Önce test et",IF(OR(L86=1,M86=1),"Değiştir",IF(I86&gt;=Hedef!$C$12,"Beklet","Bırak")))))</f>
        <v>Kapıda kaldı</v>
      </c>
      <c r="O86" s="5">
        <f>IF(N86="Yatırım yap",0,IF(N86="Önce test et",1,IF(N86="Değiştir",2,IF(N86="Beklet",3,IF(N86="Bırak",4,9)))))</f>
        <v>9</v>
      </c>
      <c r="P86" s="22" t="str">
        <f>IF(D86="kaldi","",O86*1000-G86+86/1000000000)</f>
        <v/>
      </c>
      <c r="Q86" s="5" t="str">
        <f>IF(D86="kaldi","",1+COUNTIF($P$5:$P$136,"&lt;"&amp;P86))</f>
        <v/>
      </c>
      <c r="R86" s="23" t="str">
        <f>IF(D86="kaldi","",E86*(1-IF(E86&gt;0,G86/E86,0))/MAX(1,Deneyler!F86))</f>
        <v/>
      </c>
      <c r="S86" s="22" t="str">
        <f>IF(D86="kaldi","",-R86+86/1000000000)</f>
        <v/>
      </c>
      <c r="T86" s="5" t="str">
        <f>IF(D86="kaldi","",1+COUNTIF($S$5:$S$136,"&lt;"&amp;S86))</f>
        <v/>
      </c>
    </row>
    <row r="87">
      <c r="A87" s="7" t="str">
        <f>Secenekler!A87</f>
        <v>ik-paneli-hizmeti-c</v>
      </c>
      <c r="B87" s="7" t="str">
        <f>Secenekler!C87</f>
        <v>Puantaj mutabakatı kurulum ve dönem hizmeti</v>
      </c>
      <c r="C87" s="7" t="str">
        <f>Secenekler!B87</f>
        <v>İK paneli arayüz hizmeti</v>
      </c>
      <c r="D87" s="7" t="str">
        <f>Kapilar!K87</f>
        <v>kaldi</v>
      </c>
      <c r="E87" s="8">
        <f>SUMPRODUCT(Puanlar!$C$3:$AB$3,Puanlar!C87:AB87)/5</f>
        <v>41.6</v>
      </c>
      <c r="F87" s="8">
        <f>SUMIF(Puanlar!C87:AB87,"&gt;=0",Puanlar!$C$3:$AB$3)</f>
        <v>100</v>
      </c>
      <c r="G87" s="8">
        <f>SUMPRODUCT(Puanlar!$C$3:$AB$3,Puanlar!C87:AB87,Guven!C87:AB87)/5</f>
        <v>13.36</v>
      </c>
      <c r="H87" s="9">
        <f>SUMPRODUCT(Puanlar!$C$3:$AB$3,Kanit!C87:AB87)/SUM(Puanlar!$C$3:$AB$3)</f>
        <v>0.12</v>
      </c>
      <c r="I87" s="8">
        <f>SUMPRODUCT(Puanlar!$AD$3:$AG$3,Puanlar!AD87:AG87)/5</f>
        <v>35</v>
      </c>
      <c r="J87" s="10">
        <f>Finans!AB87</f>
        <v>-26660</v>
      </c>
      <c r="K87" s="5">
        <f>Kanit!H87</f>
        <v>0</v>
      </c>
      <c r="L87" s="5">
        <f>IF(E87&gt;=Hedef!$C$10,1,0)</f>
        <v>0</v>
      </c>
      <c r="M87" s="5">
        <f>IF(AND(J87&gt;=Hedef!$C$5*Hedef!$C$11,Finans!AE87&lt;=Hedef!$C$14),1,0)</f>
        <v>0</v>
      </c>
      <c r="N87" s="7" t="str">
        <f>IF(D87="kaldi","Kapıda kaldı",IF(AND(D87="gecti",L87=1,K87&gt;=Hedef!$C$13,J87&gt;=Hedef!$C$5),"Yatırım yap",IF(AND(L87=1,M87=1),"Önce test et",IF(OR(L87=1,M87=1),"Değiştir",IF(I87&gt;=Hedef!$C$12,"Beklet","Bırak")))))</f>
        <v>Kapıda kaldı</v>
      </c>
      <c r="O87" s="5">
        <f>IF(N87="Yatırım yap",0,IF(N87="Önce test et",1,IF(N87="Değiştir",2,IF(N87="Beklet",3,IF(N87="Bırak",4,9)))))</f>
        <v>9</v>
      </c>
      <c r="P87" s="22" t="str">
        <f>IF(D87="kaldi","",O87*1000-G87+87/1000000000)</f>
        <v/>
      </c>
      <c r="Q87" s="5" t="str">
        <f>IF(D87="kaldi","",1+COUNTIF($P$5:$P$136,"&lt;"&amp;P87))</f>
        <v/>
      </c>
      <c r="R87" s="23" t="str">
        <f>IF(D87="kaldi","",E87*(1-IF(E87&gt;0,G87/E87,0))/MAX(1,Deneyler!F87))</f>
        <v/>
      </c>
      <c r="S87" s="22" t="str">
        <f>IF(D87="kaldi","",-R87+87/1000000000)</f>
        <v/>
      </c>
      <c r="T87" s="5" t="str">
        <f>IF(D87="kaldi","",1+COUNTIF($S$5:$S$136,"&lt;"&amp;S87))</f>
        <v/>
      </c>
    </row>
    <row r="88">
      <c r="A88" s="7" t="str">
        <f>Secenekler!A88</f>
        <v>ddd-renderer-a</v>
      </c>
      <c r="B88" s="7" t="str">
        <f>Secenekler!C88</f>
        <v>E-kitap eki: 3 mimari şablonlu paket (149 ₺)</v>
      </c>
      <c r="C88" s="7" t="str">
        <f>Secenekler!B88</f>
        <v>DDD modüler monolit rehberi ve JSON blok renderer</v>
      </c>
      <c r="D88" s="7" t="str">
        <f>Kapilar!K88</f>
        <v>test</v>
      </c>
      <c r="E88" s="8">
        <f>SUMPRODUCT(Puanlar!$C$3:$AB$3,Puanlar!C88:AB88)/5</f>
        <v>51</v>
      </c>
      <c r="F88" s="8">
        <f>SUMIF(Puanlar!C88:AB88,"&gt;=0",Puanlar!$C$3:$AB$3)</f>
        <v>100</v>
      </c>
      <c r="G88" s="8">
        <f>SUMPRODUCT(Puanlar!$C$3:$AB$3,Puanlar!C88:AB88,Guven!C88:AB88)/5</f>
        <v>16.22</v>
      </c>
      <c r="H88" s="9">
        <f>SUMPRODUCT(Puanlar!$C$3:$AB$3,Kanit!C88:AB88)/SUM(Puanlar!$C$3:$AB$3)</f>
        <v>0.1</v>
      </c>
      <c r="I88" s="8">
        <f>SUMPRODUCT(Puanlar!$AD$3:$AG$3,Puanlar!AD88:AG88)/5</f>
        <v>50</v>
      </c>
      <c r="J88" s="10">
        <f>Finans!AB88</f>
        <v>-4820</v>
      </c>
      <c r="K88" s="5">
        <f>Kanit!H88</f>
        <v>0</v>
      </c>
      <c r="L88" s="5">
        <f>IF(E88&gt;=Hedef!$C$10,1,0)</f>
        <v>1</v>
      </c>
      <c r="M88" s="5">
        <f>IF(AND(J88&gt;=Hedef!$C$5*Hedef!$C$11,Finans!AE88&lt;=Hedef!$C$14),1,0)</f>
        <v>0</v>
      </c>
      <c r="N88" s="7" t="str">
        <f>IF(D88="kaldi","Kapıda kaldı",IF(AND(D88="gecti",L88=1,K88&gt;=Hedef!$C$13,J88&gt;=Hedef!$C$5),"Yatırım yap",IF(AND(L88=1,M88=1),"Önce test et",IF(OR(L88=1,M88=1),"Değiştir",IF(I88&gt;=Hedef!$C$12,"Beklet","Bırak")))))</f>
        <v>Değiştir</v>
      </c>
      <c r="O88" s="5">
        <f>IF(N88="Yatırım yap",0,IF(N88="Önce test et",1,IF(N88="Değiştir",2,IF(N88="Beklet",3,IF(N88="Bırak",4,9)))))</f>
        <v>2</v>
      </c>
      <c r="P88" s="22">
        <f>IF(D88="kaldi","",O88*1000-G88+88/1000000000)</f>
        <v>1983.780000088</v>
      </c>
      <c r="Q88" s="5">
        <f>IF(D88="kaldi","",1+COUNTIF($P$5:$P$136,"&lt;"&amp;P88))</f>
        <v>75</v>
      </c>
      <c r="R88" s="23">
        <f>IF(D88="kaldi","",E88*(1-IF(E88&gt;0,G88/E88,0))/MAX(1,Deneyler!F88))</f>
        <v>2.898333333333333</v>
      </c>
      <c r="S88" s="22">
        <f>IF(D88="kaldi","",-R88+88/1000000000)</f>
        <v>-2.898333245333333</v>
      </c>
      <c r="T88" s="5">
        <f>IF(D88="kaldi","",1+COUNTIF($S$5:$S$136,"&lt;"&amp;S88))</f>
        <v>5</v>
      </c>
    </row>
    <row r="89">
      <c r="A89" s="7" t="str">
        <f>Secenekler!A89</f>
        <v>ddd-renderer-b</v>
      </c>
      <c r="B89" s="7" t="str">
        <f>Secenekler!C89</f>
        <v>Uluslararası şablon paketleri (29-79 $) açık çekirdekle</v>
      </c>
      <c r="C89" s="7" t="str">
        <f>Secenekler!B89</f>
        <v>DDD modüler monolit rehberi ve JSON blok renderer</v>
      </c>
      <c r="D89" s="7" t="str">
        <f>Kapilar!K89</f>
        <v>test</v>
      </c>
      <c r="E89" s="8">
        <f>SUMPRODUCT(Puanlar!$C$3:$AB$3,Puanlar!C89:AB89)/5</f>
        <v>52.8</v>
      </c>
      <c r="F89" s="8">
        <f>SUMIF(Puanlar!C89:AB89,"&gt;=0",Puanlar!$C$3:$AB$3)</f>
        <v>100</v>
      </c>
      <c r="G89" s="8">
        <f>SUMPRODUCT(Puanlar!$C$3:$AB$3,Puanlar!C89:AB89,Guven!C89:AB89)/5</f>
        <v>17.56</v>
      </c>
      <c r="H89" s="9">
        <f>SUMPRODUCT(Puanlar!$C$3:$AB$3,Kanit!C89:AB89)/SUM(Puanlar!$C$3:$AB$3)</f>
        <v>0.19</v>
      </c>
      <c r="I89" s="8">
        <f>SUMPRODUCT(Puanlar!$AD$3:$AG$3,Puanlar!AD89:AG89)/5</f>
        <v>50</v>
      </c>
      <c r="J89" s="10">
        <f>Finans!AB89</f>
        <v>3554</v>
      </c>
      <c r="K89" s="5">
        <f>Kanit!H89</f>
        <v>1</v>
      </c>
      <c r="L89" s="5">
        <f>IF(E89&gt;=Hedef!$C$10,1,0)</f>
        <v>1</v>
      </c>
      <c r="M89" s="5">
        <f>IF(AND(J89&gt;=Hedef!$C$5*Hedef!$C$11,Finans!AE89&lt;=Hedef!$C$14),1,0)</f>
        <v>0</v>
      </c>
      <c r="N89" s="7" t="str">
        <f>IF(D89="kaldi","Kapıda kaldı",IF(AND(D89="gecti",L89=1,K89&gt;=Hedef!$C$13,J89&gt;=Hedef!$C$5),"Yatırım yap",IF(AND(L89=1,M89=1),"Önce test et",IF(OR(L89=1,M89=1),"Değiştir",IF(I89&gt;=Hedef!$C$12,"Beklet","Bırak")))))</f>
        <v>Değiştir</v>
      </c>
      <c r="O89" s="5">
        <f>IF(N89="Yatırım yap",0,IF(N89="Önce test et",1,IF(N89="Değiştir",2,IF(N89="Beklet",3,IF(N89="Bırak",4,9)))))</f>
        <v>2</v>
      </c>
      <c r="P89" s="22">
        <f>IF(D89="kaldi","",O89*1000-G89+89/1000000000)</f>
        <v>1982.440000089</v>
      </c>
      <c r="Q89" s="5">
        <f>IF(D89="kaldi","",1+COUNTIF($P$5:$P$136,"&lt;"&amp;P89))</f>
        <v>60</v>
      </c>
      <c r="R89" s="23">
        <f>IF(D89="kaldi","",E89*(1-IF(E89&gt;0,G89/E89,0))/MAX(1,Deneyler!F89))</f>
        <v>1.4096</v>
      </c>
      <c r="S89" s="22">
        <f>IF(D89="kaldi","",-R89+89/1000000000)</f>
        <v>-1.409599911</v>
      </c>
      <c r="T89" s="5">
        <f>IF(D89="kaldi","",1+COUNTIF($S$5:$S$136,"&lt;"&amp;S89))</f>
        <v>42</v>
      </c>
    </row>
    <row r="90">
      <c r="A90" s="7" t="str">
        <f>Secenekler!A90</f>
        <v>ddd-renderer-c</v>
      </c>
      <c r="B90" s="7" t="str">
        <f>Secenekler!C90</f>
        <v>3 günlük sabit kapsamlı mimari değerlendirme hizmeti</v>
      </c>
      <c r="C90" s="7" t="str">
        <f>Secenekler!B90</f>
        <v>DDD modüler monolit rehberi ve JSON blok renderer</v>
      </c>
      <c r="D90" s="7" t="str">
        <f>Kapilar!K90</f>
        <v>test</v>
      </c>
      <c r="E90" s="8">
        <f>SUMPRODUCT(Puanlar!$C$3:$AB$3,Puanlar!C90:AB90)/5</f>
        <v>49.6</v>
      </c>
      <c r="F90" s="8">
        <f>SUMIF(Puanlar!C90:AB90,"&gt;=0",Puanlar!$C$3:$AB$3)</f>
        <v>100</v>
      </c>
      <c r="G90" s="8">
        <f>SUMPRODUCT(Puanlar!$C$3:$AB$3,Puanlar!C90:AB90,Guven!C90:AB90)/5</f>
        <v>16.2</v>
      </c>
      <c r="H90" s="9">
        <f>SUMPRODUCT(Puanlar!$C$3:$AB$3,Kanit!C90:AB90)/SUM(Puanlar!$C$3:$AB$3)</f>
        <v>0.15</v>
      </c>
      <c r="I90" s="8">
        <f>SUMPRODUCT(Puanlar!$AD$3:$AG$3,Puanlar!AD90:AG90)/5</f>
        <v>35</v>
      </c>
      <c r="J90" s="10">
        <f>Finans!AB90</f>
        <v>-3800</v>
      </c>
      <c r="K90" s="5">
        <f>Kanit!H90</f>
        <v>0</v>
      </c>
      <c r="L90" s="5">
        <f>IF(E90&gt;=Hedef!$C$10,1,0)</f>
        <v>1</v>
      </c>
      <c r="M90" s="5">
        <f>IF(AND(J90&gt;=Hedef!$C$5*Hedef!$C$11,Finans!AE90&lt;=Hedef!$C$14),1,0)</f>
        <v>0</v>
      </c>
      <c r="N90" s="7" t="str">
        <f>IF(D90="kaldi","Kapıda kaldı",IF(AND(D90="gecti",L90=1,K90&gt;=Hedef!$C$13,J90&gt;=Hedef!$C$5),"Yatırım yap",IF(AND(L90=1,M90=1),"Önce test et",IF(OR(L90=1,M90=1),"Değiştir",IF(I90&gt;=Hedef!$C$12,"Beklet","Bırak")))))</f>
        <v>Değiştir</v>
      </c>
      <c r="O90" s="5">
        <f>IF(N90="Yatırım yap",0,IF(N90="Önce test et",1,IF(N90="Değiştir",2,IF(N90="Beklet",3,IF(N90="Bırak",4,9)))))</f>
        <v>2</v>
      </c>
      <c r="P90" s="22">
        <f>IF(D90="kaldi","",O90*1000-G90+90/1000000000)</f>
        <v>1983.80000009</v>
      </c>
      <c r="Q90" s="5">
        <f>IF(D90="kaldi","",1+COUNTIF($P$5:$P$136,"&lt;"&amp;P90))</f>
        <v>76</v>
      </c>
      <c r="R90" s="23">
        <f>IF(D90="kaldi","",E90*(1-IF(E90&gt;0,G90/E90,0))/MAX(1,Deneyler!F90))</f>
        <v>0.8350000000000002</v>
      </c>
      <c r="S90" s="22">
        <f>IF(D90="kaldi","",-R90+90/1000000000)</f>
        <v>-0.8349999100000002</v>
      </c>
      <c r="T90" s="5">
        <f>IF(D90="kaldi","",1+COUNTIF($S$5:$S$136,"&lt;"&amp;S90))</f>
        <v>83</v>
      </c>
    </row>
    <row r="91">
      <c r="A91" s="7" t="str">
        <f>Secenekler!A91</f>
        <v>devpanel-a</v>
      </c>
      <c r="B91" s="7" t="str">
        <f>Secenekler!C91</f>
        <v>3 günlük onay, denetim ve yetki entegrasyon paketi</v>
      </c>
      <c r="C91" s="7" t="str">
        <f>Secenekler!B91</f>
        <v>Geliştirici paneli desenleri (devpanel)</v>
      </c>
      <c r="D91" s="7" t="str">
        <f>Kapilar!K91</f>
        <v>test</v>
      </c>
      <c r="E91" s="8">
        <f>SUMPRODUCT(Puanlar!$C$3:$AB$3,Puanlar!C91:AB91)/5</f>
        <v>45.4</v>
      </c>
      <c r="F91" s="8">
        <f>SUMIF(Puanlar!C91:AB91,"&gt;=0",Puanlar!$C$3:$AB$3)</f>
        <v>100</v>
      </c>
      <c r="G91" s="8">
        <f>SUMPRODUCT(Puanlar!$C$3:$AB$3,Puanlar!C91:AB91,Guven!C91:AB91)/5</f>
        <v>15.02</v>
      </c>
      <c r="H91" s="9">
        <f>SUMPRODUCT(Puanlar!$C$3:$AB$3,Kanit!C91:AB91)/SUM(Puanlar!$C$3:$AB$3)</f>
        <v>0.13</v>
      </c>
      <c r="I91" s="8">
        <f>SUMPRODUCT(Puanlar!$AD$3:$AG$3,Puanlar!AD91:AG91)/5</f>
        <v>35</v>
      </c>
      <c r="J91" s="10">
        <f>Finans!AB91</f>
        <v>-4400</v>
      </c>
      <c r="K91" s="5">
        <f>Kanit!H91</f>
        <v>0</v>
      </c>
      <c r="L91" s="5">
        <f>IF(E91&gt;=Hedef!$C$10,1,0)</f>
        <v>1</v>
      </c>
      <c r="M91" s="5">
        <f>IF(AND(J91&gt;=Hedef!$C$5*Hedef!$C$11,Finans!AE91&lt;=Hedef!$C$14),1,0)</f>
        <v>0</v>
      </c>
      <c r="N91" s="7" t="str">
        <f>IF(D91="kaldi","Kapıda kaldı",IF(AND(D91="gecti",L91=1,K91&gt;=Hedef!$C$13,J91&gt;=Hedef!$C$5),"Yatırım yap",IF(AND(L91=1,M91=1),"Önce test et",IF(OR(L91=1,M91=1),"Değiştir",IF(I91&gt;=Hedef!$C$12,"Beklet","Bırak")))))</f>
        <v>Değiştir</v>
      </c>
      <c r="O91" s="5">
        <f>IF(N91="Yatırım yap",0,IF(N91="Önce test et",1,IF(N91="Değiştir",2,IF(N91="Beklet",3,IF(N91="Bırak",4,9)))))</f>
        <v>2</v>
      </c>
      <c r="P91" s="22">
        <f>IF(D91="kaldi","",O91*1000-G91+91/1000000000)</f>
        <v>1984.980000091</v>
      </c>
      <c r="Q91" s="5">
        <f>IF(D91="kaldi","",1+COUNTIF($P$5:$P$136,"&lt;"&amp;P91))</f>
        <v>85</v>
      </c>
      <c r="R91" s="23">
        <f>IF(D91="kaldi","",E91*(1-IF(E91&gt;0,G91/E91,0))/MAX(1,Deneyler!F91))</f>
        <v>2.531666666666666</v>
      </c>
      <c r="S91" s="22">
        <f>IF(D91="kaldi","",-R91+91/1000000000)</f>
        <v>-2.531666575666666</v>
      </c>
      <c r="T91" s="5">
        <f>IF(D91="kaldi","",1+COUNTIF($S$5:$S$136,"&lt;"&amp;S91))</f>
        <v>14</v>
      </c>
    </row>
    <row r="92">
      <c r="A92" s="7" t="str">
        <f>Secenekler!A92</f>
        <v>devpanel-b</v>
      </c>
      <c r="B92" s="7" t="str">
        <f>Secenekler!C92</f>
        <v>20 alanlı form şemasından JSON ve React dışa aktarım işi</v>
      </c>
      <c r="C92" s="7" t="str">
        <f>Secenekler!B92</f>
        <v>Geliştirici paneli desenleri (devpanel)</v>
      </c>
      <c r="D92" s="7" t="str">
        <f>Kapilar!K92</f>
        <v>test</v>
      </c>
      <c r="E92" s="8">
        <f>SUMPRODUCT(Puanlar!$C$3:$AB$3,Puanlar!C92:AB92)/5</f>
        <v>41.4</v>
      </c>
      <c r="F92" s="8">
        <f>SUMIF(Puanlar!C92:AB92,"&gt;=0",Puanlar!$C$3:$AB$3)</f>
        <v>100</v>
      </c>
      <c r="G92" s="8">
        <f>SUMPRODUCT(Puanlar!$C$3:$AB$3,Puanlar!C92:AB92,Guven!C92:AB92)/5</f>
        <v>13.3</v>
      </c>
      <c r="H92" s="9">
        <f>SUMPRODUCT(Puanlar!$C$3:$AB$3,Kanit!C92:AB92)/SUM(Puanlar!$C$3:$AB$3)</f>
        <v>0.1</v>
      </c>
      <c r="I92" s="8">
        <f>SUMPRODUCT(Puanlar!$AD$3:$AG$3,Puanlar!AD92:AG92)/5</f>
        <v>40</v>
      </c>
      <c r="J92" s="10">
        <f>Finans!AB92</f>
        <v>-3900</v>
      </c>
      <c r="K92" s="5">
        <f>Kanit!H92</f>
        <v>0</v>
      </c>
      <c r="L92" s="5">
        <f>IF(E92&gt;=Hedef!$C$10,1,0)</f>
        <v>0</v>
      </c>
      <c r="M92" s="5">
        <f>IF(AND(J92&gt;=Hedef!$C$5*Hedef!$C$11,Finans!AE92&lt;=Hedef!$C$14),1,0)</f>
        <v>0</v>
      </c>
      <c r="N92" s="7" t="str">
        <f>IF(D92="kaldi","Kapıda kaldı",IF(AND(D92="gecti",L92=1,K92&gt;=Hedef!$C$13,J92&gt;=Hedef!$C$5),"Yatırım yap",IF(AND(L92=1,M92=1),"Önce test et",IF(OR(L92=1,M92=1),"Değiştir",IF(I92&gt;=Hedef!$C$12,"Beklet","Bırak")))))</f>
        <v>Bırak</v>
      </c>
      <c r="O92" s="5">
        <f>IF(N92="Yatırım yap",0,IF(N92="Önce test et",1,IF(N92="Değiştir",2,IF(N92="Beklet",3,IF(N92="Bırak",4,9)))))</f>
        <v>4</v>
      </c>
      <c r="P92" s="22">
        <f>IF(D92="kaldi","",O92*1000-G92+92/1000000000)</f>
        <v>3986.700000092</v>
      </c>
      <c r="Q92" s="5">
        <f>IF(D92="kaldi","",1+COUNTIF($P$5:$P$136,"&lt;"&amp;P92))</f>
        <v>103</v>
      </c>
      <c r="R92" s="23">
        <f>IF(D92="kaldi","",E92*(1-IF(E92&gt;0,G92/E92,0))/MAX(1,Deneyler!F92))</f>
        <v>1.405</v>
      </c>
      <c r="S92" s="22">
        <f>IF(D92="kaldi","",-R92+92/1000000000)</f>
        <v>-1.404999908</v>
      </c>
      <c r="T92" s="5">
        <f>IF(D92="kaldi","",1+COUNTIF($S$5:$S$136,"&lt;"&amp;S92))</f>
        <v>43</v>
      </c>
    </row>
    <row r="93">
      <c r="A93" s="7" t="str">
        <f>Secenekler!A93</f>
        <v>devpanel-c</v>
      </c>
      <c r="B93" s="7" t="str">
        <f>Secenekler!C93</f>
        <v>Yönetim paneli şablonu, 49 $ lisans</v>
      </c>
      <c r="C93" s="7" t="str">
        <f>Secenekler!B93</f>
        <v>Geliştirici paneli desenleri (devpanel)</v>
      </c>
      <c r="D93" s="7" t="str">
        <f>Kapilar!K93</f>
        <v>test</v>
      </c>
      <c r="E93" s="8">
        <f>SUMPRODUCT(Puanlar!$C$3:$AB$3,Puanlar!C93:AB93)/5</f>
        <v>52.6</v>
      </c>
      <c r="F93" s="8">
        <f>SUMIF(Puanlar!C93:AB93,"&gt;=0",Puanlar!$C$3:$AB$3)</f>
        <v>100</v>
      </c>
      <c r="G93" s="8">
        <f>SUMPRODUCT(Puanlar!$C$3:$AB$3,Puanlar!C93:AB93,Guven!C93:AB93)/5</f>
        <v>19.46</v>
      </c>
      <c r="H93" s="9">
        <f>SUMPRODUCT(Puanlar!$C$3:$AB$3,Kanit!C93:AB93)/SUM(Puanlar!$C$3:$AB$3)</f>
        <v>0.33</v>
      </c>
      <c r="I93" s="8">
        <f>SUMPRODUCT(Puanlar!$AD$3:$AG$3,Puanlar!AD93:AG93)/5</f>
        <v>55</v>
      </c>
      <c r="J93" s="10">
        <f>Finans!AB93</f>
        <v>9360</v>
      </c>
      <c r="K93" s="5">
        <f>Kanit!H93</f>
        <v>1</v>
      </c>
      <c r="L93" s="5">
        <f>IF(E93&gt;=Hedef!$C$10,1,0)</f>
        <v>1</v>
      </c>
      <c r="M93" s="5">
        <f>IF(AND(J93&gt;=Hedef!$C$5*Hedef!$C$11,Finans!AE93&lt;=Hedef!$C$14),1,0)</f>
        <v>0</v>
      </c>
      <c r="N93" s="7" t="str">
        <f>IF(D93="kaldi","Kapıda kaldı",IF(AND(D93="gecti",L93=1,K93&gt;=Hedef!$C$13,J93&gt;=Hedef!$C$5),"Yatırım yap",IF(AND(L93=1,M93=1),"Önce test et",IF(OR(L93=1,M93=1),"Değiştir",IF(I93&gt;=Hedef!$C$12,"Beklet","Bırak")))))</f>
        <v>Değiştir</v>
      </c>
      <c r="O93" s="5">
        <f>IF(N93="Yatırım yap",0,IF(N93="Önce test et",1,IF(N93="Değiştir",2,IF(N93="Beklet",3,IF(N93="Bırak",4,9)))))</f>
        <v>2</v>
      </c>
      <c r="P93" s="22">
        <f>IF(D93="kaldi","",O93*1000-G93+93/1000000000)</f>
        <v>1980.540000093</v>
      </c>
      <c r="Q93" s="5">
        <f>IF(D93="kaldi","",1+COUNTIF($P$5:$P$136,"&lt;"&amp;P93))</f>
        <v>36</v>
      </c>
      <c r="R93" s="23">
        <f>IF(D93="kaldi","",E93*(1-IF(E93&gt;0,G93/E93,0))/MAX(1,Deneyler!F93))</f>
        <v>2.761666666666667</v>
      </c>
      <c r="S93" s="22">
        <f>IF(D93="kaldi","",-R93+93/1000000000)</f>
        <v>-2.761666573666667</v>
      </c>
      <c r="T93" s="5">
        <f>IF(D93="kaldi","",1+COUNTIF($S$5:$S$136,"&lt;"&amp;S93))</f>
        <v>8</v>
      </c>
    </row>
    <row r="94">
      <c r="A94" s="7" t="str">
        <f>Secenekler!A94</f>
        <v>e-menum-a</v>
      </c>
      <c r="B94" s="7" t="str">
        <f>Secenekler!C94</f>
        <v>Tek kiracılı white-label kurulum paketi</v>
      </c>
      <c r="C94" s="7" t="str">
        <f>Secenekler!B94</f>
        <v>E-Menum (Django QR menü kod tabanı)</v>
      </c>
      <c r="D94" s="7" t="str">
        <f>Kapilar!K94</f>
        <v>test</v>
      </c>
      <c r="E94" s="8">
        <f>SUMPRODUCT(Puanlar!$C$3:$AB$3,Puanlar!C94:AB94)/5</f>
        <v>45.2</v>
      </c>
      <c r="F94" s="8">
        <f>SUMIF(Puanlar!C94:AB94,"&gt;=0",Puanlar!$C$3:$AB$3)</f>
        <v>100</v>
      </c>
      <c r="G94" s="8">
        <f>SUMPRODUCT(Puanlar!$C$3:$AB$3,Puanlar!C94:AB94,Guven!C94:AB94)/5</f>
        <v>16.48</v>
      </c>
      <c r="H94" s="9">
        <f>SUMPRODUCT(Puanlar!$C$3:$AB$3,Kanit!C94:AB94)/SUM(Puanlar!$C$3:$AB$3)</f>
        <v>0.32</v>
      </c>
      <c r="I94" s="8">
        <f>SUMPRODUCT(Puanlar!$AD$3:$AG$3,Puanlar!AD94:AG94)/5</f>
        <v>35</v>
      </c>
      <c r="J94" s="10">
        <f>Finans!AB94</f>
        <v>3000</v>
      </c>
      <c r="K94" s="5">
        <f>Kanit!H94</f>
        <v>1</v>
      </c>
      <c r="L94" s="5">
        <f>IF(E94&gt;=Hedef!$C$10,1,0)</f>
        <v>1</v>
      </c>
      <c r="M94" s="5">
        <f>IF(AND(J94&gt;=Hedef!$C$5*Hedef!$C$11,Finans!AE94&lt;=Hedef!$C$14),1,0)</f>
        <v>0</v>
      </c>
      <c r="N94" s="7" t="str">
        <f>IF(D94="kaldi","Kapıda kaldı",IF(AND(D94="gecti",L94=1,K94&gt;=Hedef!$C$13,J94&gt;=Hedef!$C$5),"Yatırım yap",IF(AND(L94=1,M94=1),"Önce test et",IF(OR(L94=1,M94=1),"Değiştir",IF(I94&gt;=Hedef!$C$12,"Beklet","Bırak")))))</f>
        <v>Değiştir</v>
      </c>
      <c r="O94" s="5">
        <f>IF(N94="Yatırım yap",0,IF(N94="Önce test et",1,IF(N94="Değiştir",2,IF(N94="Beklet",3,IF(N94="Bırak",4,9)))))</f>
        <v>2</v>
      </c>
      <c r="P94" s="22">
        <f>IF(D94="kaldi","",O94*1000-G94+94/1000000000)</f>
        <v>1983.520000094</v>
      </c>
      <c r="Q94" s="5">
        <f>IF(D94="kaldi","",1+COUNTIF($P$5:$P$136,"&lt;"&amp;P94))</f>
        <v>68</v>
      </c>
      <c r="R94" s="23">
        <f>IF(D94="kaldi","",E94*(1-IF(E94&gt;0,G94/E94,0))/MAX(1,Deneyler!F94))</f>
        <v>0.2610909090909091</v>
      </c>
      <c r="S94" s="22">
        <f>IF(D94="kaldi","",-R94+94/1000000000)</f>
        <v>-0.2610908150909091</v>
      </c>
      <c r="T94" s="5">
        <f>IF(D94="kaldi","",1+COUNTIF($S$5:$S$136,"&lt;"&amp;S94))</f>
        <v>107</v>
      </c>
    </row>
    <row r="95">
      <c r="A95" s="7" t="str">
        <f>Secenekler!A95</f>
        <v>e-menum-b</v>
      </c>
      <c r="B95" s="7" t="str">
        <f>Secenekler!C95</f>
        <v>Çok şubeli markaya yönetilen menü güncelleme hizmeti</v>
      </c>
      <c r="C95" s="7" t="str">
        <f>Secenekler!B95</f>
        <v>E-Menum (Django QR menü kod tabanı)</v>
      </c>
      <c r="D95" s="7" t="str">
        <f>Kapilar!K95</f>
        <v>test</v>
      </c>
      <c r="E95" s="8">
        <f>SUMPRODUCT(Puanlar!$C$3:$AB$3,Puanlar!C95:AB95)/5</f>
        <v>48.4</v>
      </c>
      <c r="F95" s="8">
        <f>SUMIF(Puanlar!C95:AB95,"&gt;=0",Puanlar!$C$3:$AB$3)</f>
        <v>100</v>
      </c>
      <c r="G95" s="8">
        <f>SUMPRODUCT(Puanlar!$C$3:$AB$3,Puanlar!C95:AB95,Guven!C95:AB95)/5</f>
        <v>16.2</v>
      </c>
      <c r="H95" s="9">
        <f>SUMPRODUCT(Puanlar!$C$3:$AB$3,Kanit!C95:AB95)/SUM(Puanlar!$C$3:$AB$3)</f>
        <v>0.18</v>
      </c>
      <c r="I95" s="8">
        <f>SUMPRODUCT(Puanlar!$AD$3:$AG$3,Puanlar!AD95:AG95)/5</f>
        <v>50</v>
      </c>
      <c r="J95" s="10">
        <f>Finans!AB95</f>
        <v>6700</v>
      </c>
      <c r="K95" s="5">
        <f>Kanit!H95</f>
        <v>0</v>
      </c>
      <c r="L95" s="5">
        <f>IF(E95&gt;=Hedef!$C$10,1,0)</f>
        <v>1</v>
      </c>
      <c r="M95" s="5">
        <f>IF(AND(J95&gt;=Hedef!$C$5*Hedef!$C$11,Finans!AE95&lt;=Hedef!$C$14),1,0)</f>
        <v>0</v>
      </c>
      <c r="N95" s="7" t="str">
        <f>IF(D95="kaldi","Kapıda kaldı",IF(AND(D95="gecti",L95=1,K95&gt;=Hedef!$C$13,J95&gt;=Hedef!$C$5),"Yatırım yap",IF(AND(L95=1,M95=1),"Önce test et",IF(OR(L95=1,M95=1),"Değiştir",IF(I95&gt;=Hedef!$C$12,"Beklet","Bırak")))))</f>
        <v>Değiştir</v>
      </c>
      <c r="O95" s="5">
        <f>IF(N95="Yatırım yap",0,IF(N95="Önce test et",1,IF(N95="Değiştir",2,IF(N95="Beklet",3,IF(N95="Bırak",4,9)))))</f>
        <v>2</v>
      </c>
      <c r="P95" s="22">
        <f>IF(D95="kaldi","",O95*1000-G95+95/1000000000)</f>
        <v>1983.800000095</v>
      </c>
      <c r="Q95" s="5">
        <f>IF(D95="kaldi","",1+COUNTIF($P$5:$P$136,"&lt;"&amp;P95))</f>
        <v>77</v>
      </c>
      <c r="R95" s="23">
        <f>IF(D95="kaldi","",E95*(1-IF(E95&gt;0,G95/E95,0))/MAX(1,Deneyler!F95))</f>
        <v>0.8049999999999999</v>
      </c>
      <c r="S95" s="22">
        <f>IF(D95="kaldi","",-R95+95/1000000000)</f>
        <v>-0.804999905</v>
      </c>
      <c r="T95" s="5">
        <f>IF(D95="kaldi","",1+COUNTIF($S$5:$S$136,"&lt;"&amp;S95))</f>
        <v>88</v>
      </c>
    </row>
    <row r="96">
      <c r="A96" s="7" t="str">
        <f>Secenekler!A96</f>
        <v>e-menum-c</v>
      </c>
      <c r="B96" s="7" t="str">
        <f>Secenekler!C96</f>
        <v>Kaynak kod ve belge paketi (depo ve topluluk)</v>
      </c>
      <c r="C96" s="7" t="str">
        <f>Secenekler!B96</f>
        <v>E-Menum (Django QR menü kod tabanı)</v>
      </c>
      <c r="D96" s="7" t="str">
        <f>Kapilar!K96</f>
        <v>test</v>
      </c>
      <c r="E96" s="8">
        <f>SUMPRODUCT(Puanlar!$C$3:$AB$3,Puanlar!C96:AB96)/5</f>
        <v>54.2</v>
      </c>
      <c r="F96" s="8">
        <f>SUMIF(Puanlar!C96:AB96,"&gt;=0",Puanlar!$C$3:$AB$3)</f>
        <v>100</v>
      </c>
      <c r="G96" s="8">
        <f>SUMPRODUCT(Puanlar!$C$3:$AB$3,Puanlar!C96:AB96,Guven!C96:AB96)/5</f>
        <v>20.54</v>
      </c>
      <c r="H96" s="9">
        <f>SUMPRODUCT(Puanlar!$C$3:$AB$3,Kanit!C96:AB96)/SUM(Puanlar!$C$3:$AB$3)</f>
        <v>0.4</v>
      </c>
      <c r="I96" s="8">
        <f>SUMPRODUCT(Puanlar!$AD$3:$AG$3,Puanlar!AD96:AG96)/5</f>
        <v>45</v>
      </c>
      <c r="J96" s="10">
        <f>Finans!AB96</f>
        <v>3588</v>
      </c>
      <c r="K96" s="5">
        <f>Kanit!H96</f>
        <v>1</v>
      </c>
      <c r="L96" s="5">
        <f>IF(E96&gt;=Hedef!$C$10,1,0)</f>
        <v>1</v>
      </c>
      <c r="M96" s="5">
        <f>IF(AND(J96&gt;=Hedef!$C$5*Hedef!$C$11,Finans!AE96&lt;=Hedef!$C$14),1,0)</f>
        <v>0</v>
      </c>
      <c r="N96" s="7" t="str">
        <f>IF(D96="kaldi","Kapıda kaldı",IF(AND(D96="gecti",L96=1,K96&gt;=Hedef!$C$13,J96&gt;=Hedef!$C$5),"Yatırım yap",IF(AND(L96=1,M96=1),"Önce test et",IF(OR(L96=1,M96=1),"Değiştir",IF(I96&gt;=Hedef!$C$12,"Beklet","Bırak")))))</f>
        <v>Değiştir</v>
      </c>
      <c r="O96" s="5">
        <f>IF(N96="Yatırım yap",0,IF(N96="Önce test et",1,IF(N96="Değiştir",2,IF(N96="Beklet",3,IF(N96="Bırak",4,9)))))</f>
        <v>2</v>
      </c>
      <c r="P96" s="22">
        <f>IF(D96="kaldi","",O96*1000-G96+96/1000000000)</f>
        <v>1979.460000096</v>
      </c>
      <c r="Q96" s="5">
        <f>IF(D96="kaldi","",1+COUNTIF($P$5:$P$136,"&lt;"&amp;P96))</f>
        <v>21</v>
      </c>
      <c r="R96" s="23">
        <f>IF(D96="kaldi","",E96*(1-IF(E96&gt;0,G96/E96,0))/MAX(1,Deneyler!F96))</f>
        <v>0.6732</v>
      </c>
      <c r="S96" s="22">
        <f>IF(D96="kaldi","",-R96+96/1000000000)</f>
        <v>-0.6731999040000001</v>
      </c>
      <c r="T96" s="5">
        <f>IF(D96="kaldi","",1+COUNTIF($S$5:$S$136,"&lt;"&amp;S96))</f>
        <v>99</v>
      </c>
    </row>
    <row r="97">
      <c r="A97" s="7" t="str">
        <f>Secenekler!A97</f>
        <v>eklenti-firsat-panosu-a</v>
      </c>
      <c r="B97" s="7" t="str">
        <f>Secenekler!C97</f>
        <v>Bülten Pro: aylık eklenti fırsat bülteni</v>
      </c>
      <c r="C97" s="7" t="str">
        <f>Secenekler!B97</f>
        <v>Eklenti ekosistemi fırsat panosu ve bülteni</v>
      </c>
      <c r="D97" s="7" t="str">
        <f>Kapilar!K97</f>
        <v>test</v>
      </c>
      <c r="E97" s="8">
        <f>SUMPRODUCT(Puanlar!$C$3:$AB$3,Puanlar!C97:AB97)/5</f>
        <v>56.4</v>
      </c>
      <c r="F97" s="8">
        <f>SUMIF(Puanlar!C97:AB97,"&gt;=0",Puanlar!$C$3:$AB$3)</f>
        <v>100</v>
      </c>
      <c r="G97" s="8">
        <f>SUMPRODUCT(Puanlar!$C$3:$AB$3,Puanlar!C97:AB97,Guven!C97:AB97)/5</f>
        <v>19.76</v>
      </c>
      <c r="H97" s="9">
        <f>SUMPRODUCT(Puanlar!$C$3:$AB$3,Kanit!C97:AB97)/SUM(Puanlar!$C$3:$AB$3)</f>
        <v>0.29</v>
      </c>
      <c r="I97" s="8">
        <f>SUMPRODUCT(Puanlar!$AD$3:$AG$3,Puanlar!AD97:AG97)/5</f>
        <v>45</v>
      </c>
      <c r="J97" s="10">
        <f>Finans!AB97</f>
        <v>-21483</v>
      </c>
      <c r="K97" s="5">
        <f>Kanit!H97</f>
        <v>1</v>
      </c>
      <c r="L97" s="5">
        <f>IF(E97&gt;=Hedef!$C$10,1,0)</f>
        <v>1</v>
      </c>
      <c r="M97" s="5">
        <f>IF(AND(J97&gt;=Hedef!$C$5*Hedef!$C$11,Finans!AE97&lt;=Hedef!$C$14),1,0)</f>
        <v>0</v>
      </c>
      <c r="N97" s="7" t="str">
        <f>IF(D97="kaldi","Kapıda kaldı",IF(AND(D97="gecti",L97=1,K97&gt;=Hedef!$C$13,J97&gt;=Hedef!$C$5),"Yatırım yap",IF(AND(L97=1,M97=1),"Önce test et",IF(OR(L97=1,M97=1),"Değiştir",IF(I97&gt;=Hedef!$C$12,"Beklet","Bırak")))))</f>
        <v>Değiştir</v>
      </c>
      <c r="O97" s="5">
        <f>IF(N97="Yatırım yap",0,IF(N97="Önce test et",1,IF(N97="Değiştir",2,IF(N97="Beklet",3,IF(N97="Bırak",4,9)))))</f>
        <v>2</v>
      </c>
      <c r="P97" s="22">
        <f>IF(D97="kaldi","",O97*1000-G97+97/1000000000)</f>
        <v>1980.240000097</v>
      </c>
      <c r="Q97" s="5">
        <f>IF(D97="kaldi","",1+COUNTIF($P$5:$P$136,"&lt;"&amp;P97))</f>
        <v>32</v>
      </c>
      <c r="R97" s="23">
        <f>IF(D97="kaldi","",E97*(1-IF(E97&gt;0,G97/E97,0))/MAX(1,Deneyler!F97))</f>
        <v>0.9159999999999998</v>
      </c>
      <c r="S97" s="22">
        <f>IF(D97="kaldi","",-R97+97/1000000000)</f>
        <v>-0.9159999029999998</v>
      </c>
      <c r="T97" s="5">
        <f>IF(D97="kaldi","",1+COUNTIF($S$5:$S$136,"&lt;"&amp;S97))</f>
        <v>71</v>
      </c>
    </row>
    <row r="98">
      <c r="A98" s="7" t="str">
        <f>Secenekler!A98</f>
        <v>eklenti-firsat-panosu-b</v>
      </c>
      <c r="B98" s="7" t="str">
        <f>Secenekler!C98</f>
        <v>Keşif Paketi: tek seferlik eklenti fırsat seti</v>
      </c>
      <c r="C98" s="7" t="str">
        <f>Secenekler!B98</f>
        <v>Eklenti ekosistemi fırsat panosu ve bülteni</v>
      </c>
      <c r="D98" s="7" t="str">
        <f>Kapilar!K98</f>
        <v>test</v>
      </c>
      <c r="E98" s="8">
        <f>SUMPRODUCT(Puanlar!$C$3:$AB$3,Puanlar!C98:AB98)/5</f>
        <v>54.2</v>
      </c>
      <c r="F98" s="8">
        <f>SUMIF(Puanlar!C98:AB98,"&gt;=0",Puanlar!$C$3:$AB$3)</f>
        <v>100</v>
      </c>
      <c r="G98" s="8">
        <f>SUMPRODUCT(Puanlar!$C$3:$AB$3,Puanlar!C98:AB98,Guven!C98:AB98)/5</f>
        <v>18.14</v>
      </c>
      <c r="H98" s="9">
        <f>SUMPRODUCT(Puanlar!$C$3:$AB$3,Kanit!C98:AB98)/SUM(Puanlar!$C$3:$AB$3)</f>
        <v>0.21</v>
      </c>
      <c r="I98" s="8">
        <f>SUMPRODUCT(Puanlar!$AD$3:$AG$3,Puanlar!AD98:AG98)/5</f>
        <v>50</v>
      </c>
      <c r="J98" s="10">
        <f>Finans!AB98</f>
        <v>1880</v>
      </c>
      <c r="K98" s="5">
        <f>Kanit!H98</f>
        <v>0</v>
      </c>
      <c r="L98" s="5">
        <f>IF(E98&gt;=Hedef!$C$10,1,0)</f>
        <v>1</v>
      </c>
      <c r="M98" s="5">
        <f>IF(AND(J98&gt;=Hedef!$C$5*Hedef!$C$11,Finans!AE98&lt;=Hedef!$C$14),1,0)</f>
        <v>0</v>
      </c>
      <c r="N98" s="7" t="str">
        <f>IF(D98="kaldi","Kapıda kaldı",IF(AND(D98="gecti",L98=1,K98&gt;=Hedef!$C$13,J98&gt;=Hedef!$C$5),"Yatırım yap",IF(AND(L98=1,M98=1),"Önce test et",IF(OR(L98=1,M98=1),"Değiştir",IF(I98&gt;=Hedef!$C$12,"Beklet","Bırak")))))</f>
        <v>Değiştir</v>
      </c>
      <c r="O98" s="5">
        <f>IF(N98="Yatırım yap",0,IF(N98="Önce test et",1,IF(N98="Değiştir",2,IF(N98="Beklet",3,IF(N98="Bırak",4,9)))))</f>
        <v>2</v>
      </c>
      <c r="P98" s="22">
        <f>IF(D98="kaldi","",O98*1000-G98+98/1000000000)</f>
        <v>1981.860000098</v>
      </c>
      <c r="Q98" s="5">
        <f>IF(D98="kaldi","",1+COUNTIF($P$5:$P$136,"&lt;"&amp;P98))</f>
        <v>52</v>
      </c>
      <c r="R98" s="23">
        <f>IF(D98="kaldi","",E98*(1-IF(E98&gt;0,G98/E98,0))/MAX(1,Deneyler!F98))</f>
        <v>1.803</v>
      </c>
      <c r="S98" s="22">
        <f>IF(D98="kaldi","",-R98+98/1000000000)</f>
        <v>-1.802999902</v>
      </c>
      <c r="T98" s="5">
        <f>IF(D98="kaldi","",1+COUNTIF($S$5:$S$136,"&lt;"&amp;S98))</f>
        <v>28</v>
      </c>
    </row>
    <row r="99">
      <c r="A99" s="7" t="str">
        <f>Secenekler!A99</f>
        <v>eklenti-firsat-panosu-c</v>
      </c>
      <c r="B99" s="7" t="str">
        <f>Secenekler!C99</f>
        <v>Ajans lisansı: ürün hattı fırsat paketi</v>
      </c>
      <c r="C99" s="7" t="str">
        <f>Secenekler!B99</f>
        <v>Eklenti ekosistemi fırsat panosu ve bülteni</v>
      </c>
      <c r="D99" s="7" t="str">
        <f>Kapilar!K99</f>
        <v>test</v>
      </c>
      <c r="E99" s="8">
        <f>SUMPRODUCT(Puanlar!$C$3:$AB$3,Puanlar!C99:AB99)/5</f>
        <v>46.4</v>
      </c>
      <c r="F99" s="8">
        <f>SUMIF(Puanlar!C99:AB99,"&gt;=0",Puanlar!$C$3:$AB$3)</f>
        <v>100</v>
      </c>
      <c r="G99" s="8">
        <f>SUMPRODUCT(Puanlar!$C$3:$AB$3,Puanlar!C99:AB99,Guven!C99:AB99)/5</f>
        <v>13.92</v>
      </c>
      <c r="H99" s="9">
        <f>SUMPRODUCT(Puanlar!$C$3:$AB$3,Kanit!C99:AB99)/SUM(Puanlar!$C$3:$AB$3)</f>
        <v>0</v>
      </c>
      <c r="I99" s="8">
        <f>SUMPRODUCT(Puanlar!$AD$3:$AG$3,Puanlar!AD99:AG99)/5</f>
        <v>40</v>
      </c>
      <c r="J99" s="10">
        <f>Finans!AB99</f>
        <v>5302</v>
      </c>
      <c r="K99" s="5">
        <f>Kanit!H99</f>
        <v>0</v>
      </c>
      <c r="L99" s="5">
        <f>IF(E99&gt;=Hedef!$C$10,1,0)</f>
        <v>1</v>
      </c>
      <c r="M99" s="5">
        <f>IF(AND(J99&gt;=Hedef!$C$5*Hedef!$C$11,Finans!AE99&lt;=Hedef!$C$14),1,0)</f>
        <v>0</v>
      </c>
      <c r="N99" s="7" t="str">
        <f>IF(D99="kaldi","Kapıda kaldı",IF(AND(D99="gecti",L99=1,K99&gt;=Hedef!$C$13,J99&gt;=Hedef!$C$5),"Yatırım yap",IF(AND(L99=1,M99=1),"Önce test et",IF(OR(L99=1,M99=1),"Değiştir",IF(I99&gt;=Hedef!$C$12,"Beklet","Bırak")))))</f>
        <v>Değiştir</v>
      </c>
      <c r="O99" s="5">
        <f>IF(N99="Yatırım yap",0,IF(N99="Önce test et",1,IF(N99="Değiştir",2,IF(N99="Beklet",3,IF(N99="Bırak",4,9)))))</f>
        <v>2</v>
      </c>
      <c r="P99" s="22">
        <f>IF(D99="kaldi","",O99*1000-G99+99/1000000000)</f>
        <v>1986.080000099</v>
      </c>
      <c r="Q99" s="5">
        <f>IF(D99="kaldi","",1+COUNTIF($P$5:$P$136,"&lt;"&amp;P99))</f>
        <v>92</v>
      </c>
      <c r="R99" s="23">
        <f>IF(D99="kaldi","",E99*(1-IF(E99&gt;0,G99/E99,0))/MAX(1,Deneyler!F99))</f>
        <v>2.32</v>
      </c>
      <c r="S99" s="22">
        <f>IF(D99="kaldi","",-R99+99/1000000000)</f>
        <v>-2.319999901</v>
      </c>
      <c r="T99" s="5">
        <f>IF(D99="kaldi","",1+COUNTIF($S$5:$S$136,"&lt;"&amp;S99))</f>
        <v>17</v>
      </c>
    </row>
    <row r="100">
      <c r="A100" s="7" t="str">
        <f>Secenekler!A100</f>
        <v>cok-dilli-arayuz-a</v>
      </c>
      <c r="B100" s="7" t="str">
        <f>Secenekler!C100</f>
        <v>Çok dilli site denetimi: sabit fiyatlı paket</v>
      </c>
      <c r="C100" s="7" t="str">
        <f>Secenekler!B100</f>
        <v>Çok dilli arayüz rehberi ve denetimi</v>
      </c>
      <c r="D100" s="7" t="str">
        <f>Kapilar!K100</f>
        <v>test</v>
      </c>
      <c r="E100" s="8">
        <f>SUMPRODUCT(Puanlar!$C$3:$AB$3,Puanlar!C100:AB100)/5</f>
        <v>57</v>
      </c>
      <c r="F100" s="8">
        <f>SUMIF(Puanlar!C100:AB100,"&gt;=0",Puanlar!$C$3:$AB$3)</f>
        <v>100</v>
      </c>
      <c r="G100" s="8">
        <f>SUMPRODUCT(Puanlar!$C$3:$AB$3,Puanlar!C100:AB100,Guven!C100:AB100)/5</f>
        <v>20.78</v>
      </c>
      <c r="H100" s="9">
        <f>SUMPRODUCT(Puanlar!$C$3:$AB$3,Kanit!C100:AB100)/SUM(Puanlar!$C$3:$AB$3)</f>
        <v>0.3</v>
      </c>
      <c r="I100" s="8">
        <f>SUMPRODUCT(Puanlar!$AD$3:$AG$3,Puanlar!AD100:AG100)/5</f>
        <v>40</v>
      </c>
      <c r="J100" s="10">
        <f>Finans!AB100</f>
        <v>6000</v>
      </c>
      <c r="K100" s="5">
        <f>Kanit!H100</f>
        <v>0</v>
      </c>
      <c r="L100" s="5">
        <f>IF(E100&gt;=Hedef!$C$10,1,0)</f>
        <v>1</v>
      </c>
      <c r="M100" s="5">
        <f>IF(AND(J100&gt;=Hedef!$C$5*Hedef!$C$11,Finans!AE100&lt;=Hedef!$C$14),1,0)</f>
        <v>0</v>
      </c>
      <c r="N100" s="7" t="str">
        <f>IF(D100="kaldi","Kapıda kaldı",IF(AND(D100="gecti",L100=1,K100&gt;=Hedef!$C$13,J100&gt;=Hedef!$C$5),"Yatırım yap",IF(AND(L100=1,M100=1),"Önce test et",IF(OR(L100=1,M100=1),"Değiştir",IF(I100&gt;=Hedef!$C$12,"Beklet","Bırak")))))</f>
        <v>Değiştir</v>
      </c>
      <c r="O100" s="5">
        <f>IF(N100="Yatırım yap",0,IF(N100="Önce test et",1,IF(N100="Değiştir",2,IF(N100="Beklet",3,IF(N100="Bırak",4,9)))))</f>
        <v>2</v>
      </c>
      <c r="P100" s="22">
        <f>IF(D100="kaldi","",O100*1000-G100+100/1000000000)</f>
        <v>1979.2200001</v>
      </c>
      <c r="Q100" s="5">
        <f>IF(D100="kaldi","",1+COUNTIF($P$5:$P$136,"&lt;"&amp;P100))</f>
        <v>18</v>
      </c>
      <c r="R100" s="23">
        <f>IF(D100="kaldi","",E100*(1-IF(E100&gt;0,G100/E100,0))/MAX(1,Deneyler!F100))</f>
        <v>1.811</v>
      </c>
      <c r="S100" s="22">
        <f>IF(D100="kaldi","",-R100+100/1000000000)</f>
        <v>-1.8109999</v>
      </c>
      <c r="T100" s="5">
        <f>IF(D100="kaldi","",1+COUNTIF($S$5:$S$136,"&lt;"&amp;S100))</f>
        <v>27</v>
      </c>
    </row>
    <row r="101">
      <c r="A101" s="7" t="str">
        <f>Secenekler!A101</f>
        <v>cok-dilli-arayuz-b</v>
      </c>
      <c r="B101" s="7" t="str">
        <f>Secenekler!C101</f>
        <v>Kontrol listesi PDF ve ücretsiz Atlas modülü</v>
      </c>
      <c r="C101" s="7" t="str">
        <f>Secenekler!B101</f>
        <v>Çok dilli arayüz rehberi ve denetimi</v>
      </c>
      <c r="D101" s="7" t="str">
        <f>Kapilar!K101</f>
        <v>test</v>
      </c>
      <c r="E101" s="8">
        <f>SUMPRODUCT(Puanlar!$C$3:$AB$3,Puanlar!C101:AB101)/5</f>
        <v>52.4</v>
      </c>
      <c r="F101" s="8">
        <f>SUMIF(Puanlar!C101:AB101,"&gt;=0",Puanlar!$C$3:$AB$3)</f>
        <v>100</v>
      </c>
      <c r="G101" s="8">
        <f>SUMPRODUCT(Puanlar!$C$3:$AB$3,Puanlar!C101:AB101,Guven!C101:AB101)/5</f>
        <v>16.64</v>
      </c>
      <c r="H101" s="9">
        <f>SUMPRODUCT(Puanlar!$C$3:$AB$3,Kanit!C101:AB101)/SUM(Puanlar!$C$3:$AB$3)</f>
        <v>0.1</v>
      </c>
      <c r="I101" s="8">
        <f>SUMPRODUCT(Puanlar!$AD$3:$AG$3,Puanlar!AD101:AG101)/5</f>
        <v>55</v>
      </c>
      <c r="J101" s="10">
        <f>Finans!AB101</f>
        <v>-5720</v>
      </c>
      <c r="K101" s="5">
        <f>Kanit!H101</f>
        <v>0</v>
      </c>
      <c r="L101" s="5">
        <f>IF(E101&gt;=Hedef!$C$10,1,0)</f>
        <v>1</v>
      </c>
      <c r="M101" s="5">
        <f>IF(AND(J101&gt;=Hedef!$C$5*Hedef!$C$11,Finans!AE101&lt;=Hedef!$C$14),1,0)</f>
        <v>0</v>
      </c>
      <c r="N101" s="7" t="str">
        <f>IF(D101="kaldi","Kapıda kaldı",IF(AND(D101="gecti",L101=1,K101&gt;=Hedef!$C$13,J101&gt;=Hedef!$C$5),"Yatırım yap",IF(AND(L101=1,M101=1),"Önce test et",IF(OR(L101=1,M101=1),"Değiştir",IF(I101&gt;=Hedef!$C$12,"Beklet","Bırak")))))</f>
        <v>Değiştir</v>
      </c>
      <c r="O101" s="5">
        <f>IF(N101="Yatırım yap",0,IF(N101="Önce test et",1,IF(N101="Değiştir",2,IF(N101="Beklet",3,IF(N101="Bırak",4,9)))))</f>
        <v>2</v>
      </c>
      <c r="P101" s="22">
        <f>IF(D101="kaldi","",O101*1000-G101+101/1000000000)</f>
        <v>1983.360000101</v>
      </c>
      <c r="Q101" s="5">
        <f>IF(D101="kaldi","",1+COUNTIF($P$5:$P$136,"&lt;"&amp;P101))</f>
        <v>67</v>
      </c>
      <c r="R101" s="23">
        <f>IF(D101="kaldi","",E101*(1-IF(E101&gt;0,G101/E101,0))/MAX(1,Deneyler!F101))</f>
        <v>1.192</v>
      </c>
      <c r="S101" s="22">
        <f>IF(D101="kaldi","",-R101+101/1000000000)</f>
        <v>-1.191999899</v>
      </c>
      <c r="T101" s="5">
        <f>IF(D101="kaldi","",1+COUNTIF($S$5:$S$136,"&lt;"&amp;S101))</f>
        <v>54</v>
      </c>
    </row>
    <row r="102">
      <c r="A102" s="7" t="str">
        <f>Secenekler!A102</f>
        <v>cok-dilli-arayuz-c</v>
      </c>
      <c r="B102" s="7" t="str">
        <f>Secenekler!C102</f>
        <v>SaaS ekibine ücretli pilot: yerelleştirme QA kapısı</v>
      </c>
      <c r="C102" s="7" t="str">
        <f>Secenekler!B102</f>
        <v>Çok dilli arayüz rehberi ve denetimi</v>
      </c>
      <c r="D102" s="7" t="str">
        <f>Kapilar!K102</f>
        <v>test</v>
      </c>
      <c r="E102" s="8">
        <f>SUMPRODUCT(Puanlar!$C$3:$AB$3,Puanlar!C102:AB102)/5</f>
        <v>45.2</v>
      </c>
      <c r="F102" s="8">
        <f>SUMIF(Puanlar!C102:AB102,"&gt;=0",Puanlar!$C$3:$AB$3)</f>
        <v>100</v>
      </c>
      <c r="G102" s="8">
        <f>SUMPRODUCT(Puanlar!$C$3:$AB$3,Puanlar!C102:AB102,Guven!C102:AB102)/5</f>
        <v>14.6</v>
      </c>
      <c r="H102" s="9">
        <f>SUMPRODUCT(Puanlar!$C$3:$AB$3,Kanit!C102:AB102)/SUM(Puanlar!$C$3:$AB$3)</f>
        <v>0.1</v>
      </c>
      <c r="I102" s="8">
        <f>SUMPRODUCT(Puanlar!$AD$3:$AG$3,Puanlar!AD102:AG102)/5</f>
        <v>55</v>
      </c>
      <c r="J102" s="10">
        <f>Finans!AB102</f>
        <v>-8400</v>
      </c>
      <c r="K102" s="5">
        <f>Kanit!H102</f>
        <v>0</v>
      </c>
      <c r="L102" s="5">
        <f>IF(E102&gt;=Hedef!$C$10,1,0)</f>
        <v>1</v>
      </c>
      <c r="M102" s="5">
        <f>IF(AND(J102&gt;=Hedef!$C$5*Hedef!$C$11,Finans!AE102&lt;=Hedef!$C$14),1,0)</f>
        <v>0</v>
      </c>
      <c r="N102" s="7" t="str">
        <f>IF(D102="kaldi","Kapıda kaldı",IF(AND(D102="gecti",L102=1,K102&gt;=Hedef!$C$13,J102&gt;=Hedef!$C$5),"Yatırım yap",IF(AND(L102=1,M102=1),"Önce test et",IF(OR(L102=1,M102=1),"Değiştir",IF(I102&gt;=Hedef!$C$12,"Beklet","Bırak")))))</f>
        <v>Değiştir</v>
      </c>
      <c r="O102" s="5">
        <f>IF(N102="Yatırım yap",0,IF(N102="Önce test et",1,IF(N102="Değiştir",2,IF(N102="Beklet",3,IF(N102="Bırak",4,9)))))</f>
        <v>2</v>
      </c>
      <c r="P102" s="22">
        <f>IF(D102="kaldi","",O102*1000-G102+102/1000000000)</f>
        <v>1985.400000102</v>
      </c>
      <c r="Q102" s="5">
        <f>IF(D102="kaldi","",1+COUNTIF($P$5:$P$136,"&lt;"&amp;P102))</f>
        <v>88</v>
      </c>
      <c r="R102" s="23">
        <f>IF(D102="kaldi","",E102*(1-IF(E102&gt;0,G102/E102,0))/MAX(1,Deneyler!F102))</f>
        <v>0.7650000000000001</v>
      </c>
      <c r="S102" s="22">
        <f>IF(D102="kaldi","",-R102+102/1000000000)</f>
        <v>-0.7649998980000001</v>
      </c>
      <c r="T102" s="5">
        <f>IF(D102="kaldi","",1+COUNTIF($S$5:$S$136,"&lt;"&amp;S102))</f>
        <v>92</v>
      </c>
    </row>
    <row r="103">
      <c r="A103" s="7" t="str">
        <f>Secenekler!A103</f>
        <v>b2b-pazar-yeri-hizmeti-a</v>
      </c>
      <c r="B103" s="7" t="str">
        <f>Secenekler!C103</f>
        <v>Soğuk başlangıç teşhis paketi (2 hafta)</v>
      </c>
      <c r="C103" s="7" t="str">
        <f>Secenekler!B103</f>
        <v>B2B pazar yeri keşif ve teklif hizmeti</v>
      </c>
      <c r="D103" s="7" t="str">
        <f>Kapilar!K103</f>
        <v>kaldi</v>
      </c>
      <c r="E103" s="8">
        <f>SUMPRODUCT(Puanlar!$C$3:$AB$3,Puanlar!C103:AB103)/5</f>
        <v>48.6</v>
      </c>
      <c r="F103" s="8">
        <f>SUMIF(Puanlar!C103:AB103,"&gt;=0",Puanlar!$C$3:$AB$3)</f>
        <v>100</v>
      </c>
      <c r="G103" s="8">
        <f>SUMPRODUCT(Puanlar!$C$3:$AB$3,Puanlar!C103:AB103,Guven!C103:AB103)/5</f>
        <v>15.3</v>
      </c>
      <c r="H103" s="9">
        <f>SUMPRODUCT(Puanlar!$C$3:$AB$3,Kanit!C103:AB103)/SUM(Puanlar!$C$3:$AB$3)</f>
        <v>0.06</v>
      </c>
      <c r="I103" s="8">
        <f>SUMPRODUCT(Puanlar!$AD$3:$AG$3,Puanlar!AD103:AG103)/5</f>
        <v>40</v>
      </c>
      <c r="J103" s="10">
        <f>Finans!AB103</f>
        <v>40000</v>
      </c>
      <c r="K103" s="5">
        <f>Kanit!H103</f>
        <v>0</v>
      </c>
      <c r="L103" s="5">
        <f>IF(E103&gt;=Hedef!$C$10,1,0)</f>
        <v>1</v>
      </c>
      <c r="M103" s="5">
        <f>IF(AND(J103&gt;=Hedef!$C$5*Hedef!$C$11,Finans!AE103&lt;=Hedef!$C$14),1,0)</f>
        <v>0</v>
      </c>
      <c r="N103" s="7" t="str">
        <f>IF(D103="kaldi","Kapıda kaldı",IF(AND(D103="gecti",L103=1,K103&gt;=Hedef!$C$13,J103&gt;=Hedef!$C$5),"Yatırım yap",IF(AND(L103=1,M103=1),"Önce test et",IF(OR(L103=1,M103=1),"Değiştir",IF(I103&gt;=Hedef!$C$12,"Beklet","Bırak")))))</f>
        <v>Kapıda kaldı</v>
      </c>
      <c r="O103" s="5">
        <f>IF(N103="Yatırım yap",0,IF(N103="Önce test et",1,IF(N103="Değiştir",2,IF(N103="Beklet",3,IF(N103="Bırak",4,9)))))</f>
        <v>9</v>
      </c>
      <c r="P103" s="22" t="str">
        <f>IF(D103="kaldi","",O103*1000-G103+103/1000000000)</f>
        <v/>
      </c>
      <c r="Q103" s="5" t="str">
        <f>IF(D103="kaldi","",1+COUNTIF($P$5:$P$136,"&lt;"&amp;P103))</f>
        <v/>
      </c>
      <c r="R103" s="23" t="str">
        <f>IF(D103="kaldi","",E103*(1-IF(E103&gt;0,G103/E103,0))/MAX(1,Deneyler!F103))</f>
        <v/>
      </c>
      <c r="S103" s="22" t="str">
        <f>IF(D103="kaldi","",-R103+103/1000000000)</f>
        <v/>
      </c>
      <c r="T103" s="5" t="str">
        <f>IF(D103="kaldi","",1+COUNTIF($S$5:$S$136,"&lt;"&amp;S103))</f>
        <v/>
      </c>
    </row>
    <row r="104">
      <c r="A104" s="7" t="str">
        <f>Secenekler!A104</f>
        <v>b2b-pazar-yeri-hizmeti-b</v>
      </c>
      <c r="B104" s="7" t="str">
        <f>Secenekler!C104</f>
        <v>Tek kategori talep ve teklif doğrulama raporu</v>
      </c>
      <c r="C104" s="7" t="str">
        <f>Secenekler!B104</f>
        <v>B2B pazar yeri keşif ve teklif hizmeti</v>
      </c>
      <c r="D104" s="7" t="str">
        <f>Kapilar!K104</f>
        <v>kaldi</v>
      </c>
      <c r="E104" s="8">
        <f>SUMPRODUCT(Puanlar!$C$3:$AB$3,Puanlar!C104:AB104)/5</f>
        <v>52.2</v>
      </c>
      <c r="F104" s="8">
        <f>SUMIF(Puanlar!C104:AB104,"&gt;=0",Puanlar!$C$3:$AB$3)</f>
        <v>100</v>
      </c>
      <c r="G104" s="8">
        <f>SUMPRODUCT(Puanlar!$C$3:$AB$3,Puanlar!C104:AB104,Guven!C104:AB104)/5</f>
        <v>16.02</v>
      </c>
      <c r="H104" s="9">
        <f>SUMPRODUCT(Puanlar!$C$3:$AB$3,Kanit!C104:AB104)/SUM(Puanlar!$C$3:$AB$3)</f>
        <v>0.03</v>
      </c>
      <c r="I104" s="8">
        <f>SUMPRODUCT(Puanlar!$AD$3:$AG$3,Puanlar!AD104:AG104)/5</f>
        <v>35</v>
      </c>
      <c r="J104" s="10">
        <f>Finans!AB104</f>
        <v>-23000</v>
      </c>
      <c r="K104" s="5">
        <f>Kanit!H104</f>
        <v>0</v>
      </c>
      <c r="L104" s="5">
        <f>IF(E104&gt;=Hedef!$C$10,1,0)</f>
        <v>1</v>
      </c>
      <c r="M104" s="5">
        <f>IF(AND(J104&gt;=Hedef!$C$5*Hedef!$C$11,Finans!AE104&lt;=Hedef!$C$14),1,0)</f>
        <v>0</v>
      </c>
      <c r="N104" s="7" t="str">
        <f>IF(D104="kaldi","Kapıda kaldı",IF(AND(D104="gecti",L104=1,K104&gt;=Hedef!$C$13,J104&gt;=Hedef!$C$5),"Yatırım yap",IF(AND(L104=1,M104=1),"Önce test et",IF(OR(L104=1,M104=1),"Değiştir",IF(I104&gt;=Hedef!$C$12,"Beklet","Bırak")))))</f>
        <v>Kapıda kaldı</v>
      </c>
      <c r="O104" s="5">
        <f>IF(N104="Yatırım yap",0,IF(N104="Önce test et",1,IF(N104="Değiştir",2,IF(N104="Beklet",3,IF(N104="Bırak",4,9)))))</f>
        <v>9</v>
      </c>
      <c r="P104" s="22" t="str">
        <f>IF(D104="kaldi","",O104*1000-G104+104/1000000000)</f>
        <v/>
      </c>
      <c r="Q104" s="5" t="str">
        <f>IF(D104="kaldi","",1+COUNTIF($P$5:$P$136,"&lt;"&amp;P104))</f>
        <v/>
      </c>
      <c r="R104" s="23" t="str">
        <f>IF(D104="kaldi","",E104*(1-IF(E104&gt;0,G104/E104,0))/MAX(1,Deneyler!F104))</f>
        <v/>
      </c>
      <c r="S104" s="22" t="str">
        <f>IF(D104="kaldi","",-R104+104/1000000000)</f>
        <v/>
      </c>
      <c r="T104" s="5" t="str">
        <f>IF(D104="kaldi","",1+COUNTIF($S$5:$S$136,"&lt;"&amp;S104))</f>
        <v/>
      </c>
    </row>
    <row r="105">
      <c r="A105" s="7" t="str">
        <f>Secenekler!A105</f>
        <v>b2b-pazar-yeri-hizmeti-c</v>
      </c>
      <c r="B105" s="7" t="str">
        <f>Secenekler!C105</f>
        <v>Tam paket: strateji, ekran seti, backlog ve 90 gün koçluk</v>
      </c>
      <c r="C105" s="7" t="str">
        <f>Secenekler!B105</f>
        <v>B2B pazar yeri keşif ve teklif hizmeti</v>
      </c>
      <c r="D105" s="7" t="str">
        <f>Kapilar!K105</f>
        <v>kaldi</v>
      </c>
      <c r="E105" s="8">
        <f>SUMPRODUCT(Puanlar!$C$3:$AB$3,Puanlar!C105:AB105)/5</f>
        <v>45.8</v>
      </c>
      <c r="F105" s="8">
        <f>SUMIF(Puanlar!C105:AB105,"&gt;=0",Puanlar!$C$3:$AB$3)</f>
        <v>100</v>
      </c>
      <c r="G105" s="8">
        <f>SUMPRODUCT(Puanlar!$C$3:$AB$3,Puanlar!C105:AB105,Guven!C105:AB105)/5</f>
        <v>14.1</v>
      </c>
      <c r="H105" s="9">
        <f>SUMPRODUCT(Puanlar!$C$3:$AB$3,Kanit!C105:AB105)/SUM(Puanlar!$C$3:$AB$3)</f>
        <v>0.03</v>
      </c>
      <c r="I105" s="8">
        <f>SUMPRODUCT(Puanlar!$AD$3:$AG$3,Puanlar!AD105:AG105)/5</f>
        <v>40</v>
      </c>
      <c r="J105" s="10">
        <f>Finans!AB105</f>
        <v>4000</v>
      </c>
      <c r="K105" s="5">
        <f>Kanit!H105</f>
        <v>0</v>
      </c>
      <c r="L105" s="5">
        <f>IF(E105&gt;=Hedef!$C$10,1,0)</f>
        <v>1</v>
      </c>
      <c r="M105" s="5">
        <f>IF(AND(J105&gt;=Hedef!$C$5*Hedef!$C$11,Finans!AE105&lt;=Hedef!$C$14),1,0)</f>
        <v>0</v>
      </c>
      <c r="N105" s="7" t="str">
        <f>IF(D105="kaldi","Kapıda kaldı",IF(AND(D105="gecti",L105=1,K105&gt;=Hedef!$C$13,J105&gt;=Hedef!$C$5),"Yatırım yap",IF(AND(L105=1,M105=1),"Önce test et",IF(OR(L105=1,M105=1),"Değiştir",IF(I105&gt;=Hedef!$C$12,"Beklet","Bırak")))))</f>
        <v>Kapıda kaldı</v>
      </c>
      <c r="O105" s="5">
        <f>IF(N105="Yatırım yap",0,IF(N105="Önce test et",1,IF(N105="Değiştir",2,IF(N105="Beklet",3,IF(N105="Bırak",4,9)))))</f>
        <v>9</v>
      </c>
      <c r="P105" s="22" t="str">
        <f>IF(D105="kaldi","",O105*1000-G105+105/1000000000)</f>
        <v/>
      </c>
      <c r="Q105" s="5" t="str">
        <f>IF(D105="kaldi","",1+COUNTIF($P$5:$P$136,"&lt;"&amp;P105))</f>
        <v/>
      </c>
      <c r="R105" s="23" t="str">
        <f>IF(D105="kaldi","",E105*(1-IF(E105&gt;0,G105/E105,0))/MAX(1,Deneyler!F105))</f>
        <v/>
      </c>
      <c r="S105" s="22" t="str">
        <f>IF(D105="kaldi","",-R105+105/1000000000)</f>
        <v/>
      </c>
      <c r="T105" s="5" t="str">
        <f>IF(D105="kaldi","",1+COUNTIF($S$5:$S$136,"&lt;"&amp;S105))</f>
        <v/>
      </c>
    </row>
    <row r="106">
      <c r="A106" s="7" t="str">
        <f>Secenekler!A106</f>
        <v>lifeos-a</v>
      </c>
      <c r="B106" s="7" t="str">
        <f>Secenekler!C106</f>
        <v>Günün Framework'ü: ücretsiz yan panel ve çalışma kâğıdı paketi</v>
      </c>
      <c r="C106" s="7" t="str">
        <f>Secenekler!B106</f>
        <v>LifeOS (yeni sekme ve alışkanlık eklentisi)</v>
      </c>
      <c r="D106" s="7" t="str">
        <f>Kapilar!K106</f>
        <v>test</v>
      </c>
      <c r="E106" s="8">
        <f>SUMPRODUCT(Puanlar!$C$3:$AB$3,Puanlar!C106:AB106)/5</f>
        <v>53.8</v>
      </c>
      <c r="F106" s="8">
        <f>SUMIF(Puanlar!C106:AB106,"&gt;=0",Puanlar!$C$3:$AB$3)</f>
        <v>100</v>
      </c>
      <c r="G106" s="8">
        <f>SUMPRODUCT(Puanlar!$C$3:$AB$3,Puanlar!C106:AB106,Guven!C106:AB106)/5</f>
        <v>18.94</v>
      </c>
      <c r="H106" s="9">
        <f>SUMPRODUCT(Puanlar!$C$3:$AB$3,Kanit!C106:AB106)/SUM(Puanlar!$C$3:$AB$3)</f>
        <v>0.27</v>
      </c>
      <c r="I106" s="8">
        <f>SUMPRODUCT(Puanlar!$AD$3:$AG$3,Puanlar!AD106:AG106)/5</f>
        <v>55</v>
      </c>
      <c r="J106" s="10">
        <f>Finans!AB106</f>
        <v>-2710</v>
      </c>
      <c r="K106" s="5">
        <f>Kanit!H106</f>
        <v>1</v>
      </c>
      <c r="L106" s="5">
        <f>IF(E106&gt;=Hedef!$C$10,1,0)</f>
        <v>1</v>
      </c>
      <c r="M106" s="5">
        <f>IF(AND(J106&gt;=Hedef!$C$5*Hedef!$C$11,Finans!AE106&lt;=Hedef!$C$14),1,0)</f>
        <v>0</v>
      </c>
      <c r="N106" s="7" t="str">
        <f>IF(D106="kaldi","Kapıda kaldı",IF(AND(D106="gecti",L106=1,K106&gt;=Hedef!$C$13,J106&gt;=Hedef!$C$5),"Yatırım yap",IF(AND(L106=1,M106=1),"Önce test et",IF(OR(L106=1,M106=1),"Değiştir",IF(I106&gt;=Hedef!$C$12,"Beklet","Bırak")))))</f>
        <v>Değiştir</v>
      </c>
      <c r="O106" s="5">
        <f>IF(N106="Yatırım yap",0,IF(N106="Önce test et",1,IF(N106="Değiştir",2,IF(N106="Beklet",3,IF(N106="Bırak",4,9)))))</f>
        <v>2</v>
      </c>
      <c r="P106" s="22">
        <f>IF(D106="kaldi","",O106*1000-G106+106/1000000000)</f>
        <v>1981.060000106</v>
      </c>
      <c r="Q106" s="5">
        <f>IF(D106="kaldi","",1+COUNTIF($P$5:$P$136,"&lt;"&amp;P106))</f>
        <v>44</v>
      </c>
      <c r="R106" s="23">
        <f>IF(D106="kaldi","",E106*(1-IF(E106&gt;0,G106/E106,0))/MAX(1,Deneyler!F106))</f>
        <v>2.905</v>
      </c>
      <c r="S106" s="22">
        <f>IF(D106="kaldi","",-R106+106/1000000000)</f>
        <v>-2.904999894</v>
      </c>
      <c r="T106" s="5">
        <f>IF(D106="kaldi","",1+COUNTIF($S$5:$S$136,"&lt;"&amp;S106))</f>
        <v>4</v>
      </c>
    </row>
    <row r="107">
      <c r="A107" s="7" t="str">
        <f>Secenekler!A107</f>
        <v>lifeos-b</v>
      </c>
      <c r="B107" s="7" t="str">
        <f>Secenekler!C107</f>
        <v>Freelancer haftalık çalışma kaydı: yerel CSV ve kurulum paketi</v>
      </c>
      <c r="C107" s="7" t="str">
        <f>Secenekler!B107</f>
        <v>LifeOS (yeni sekme ve alışkanlık eklentisi)</v>
      </c>
      <c r="D107" s="7" t="str">
        <f>Kapilar!K107</f>
        <v>test</v>
      </c>
      <c r="E107" s="8">
        <f>SUMPRODUCT(Puanlar!$C$3:$AB$3,Puanlar!C107:AB107)/5</f>
        <v>45.6</v>
      </c>
      <c r="F107" s="8">
        <f>SUMIF(Puanlar!C107:AB107,"&gt;=0",Puanlar!$C$3:$AB$3)</f>
        <v>100</v>
      </c>
      <c r="G107" s="8">
        <f>SUMPRODUCT(Puanlar!$C$3:$AB$3,Puanlar!C107:AB107,Guven!C107:AB107)/5</f>
        <v>13.84</v>
      </c>
      <c r="H107" s="9">
        <f>SUMPRODUCT(Puanlar!$C$3:$AB$3,Kanit!C107:AB107)/SUM(Puanlar!$C$3:$AB$3)</f>
        <v>0.04</v>
      </c>
      <c r="I107" s="8">
        <f>SUMPRODUCT(Puanlar!$AD$3:$AG$3,Puanlar!AD107:AG107)/5</f>
        <v>30</v>
      </c>
      <c r="J107" s="10">
        <f>Finans!AB107</f>
        <v>-1710</v>
      </c>
      <c r="K107" s="5">
        <f>Kanit!H107</f>
        <v>0</v>
      </c>
      <c r="L107" s="5">
        <f>IF(E107&gt;=Hedef!$C$10,1,0)</f>
        <v>1</v>
      </c>
      <c r="M107" s="5">
        <f>IF(AND(J107&gt;=Hedef!$C$5*Hedef!$C$11,Finans!AE107&lt;=Hedef!$C$14),1,0)</f>
        <v>0</v>
      </c>
      <c r="N107" s="7" t="str">
        <f>IF(D107="kaldi","Kapıda kaldı",IF(AND(D107="gecti",L107=1,K107&gt;=Hedef!$C$13,J107&gt;=Hedef!$C$5),"Yatırım yap",IF(AND(L107=1,M107=1),"Önce test et",IF(OR(L107=1,M107=1),"Değiştir",IF(I107&gt;=Hedef!$C$12,"Beklet","Bırak")))))</f>
        <v>Değiştir</v>
      </c>
      <c r="O107" s="5">
        <f>IF(N107="Yatırım yap",0,IF(N107="Önce test et",1,IF(N107="Değiştir",2,IF(N107="Beklet",3,IF(N107="Bırak",4,9)))))</f>
        <v>2</v>
      </c>
      <c r="P107" s="22">
        <f>IF(D107="kaldi","",O107*1000-G107+107/1000000000)</f>
        <v>1986.160000107</v>
      </c>
      <c r="Q107" s="5">
        <f>IF(D107="kaldi","",1+COUNTIF($P$5:$P$136,"&lt;"&amp;P107))</f>
        <v>95</v>
      </c>
      <c r="R107" s="23">
        <f>IF(D107="kaldi","",E107*(1-IF(E107&gt;0,G107/E107,0))/MAX(1,Deneyler!F107))</f>
        <v>0.7940000000000002</v>
      </c>
      <c r="S107" s="22">
        <f>IF(D107="kaldi","",-R107+107/1000000000)</f>
        <v>-0.7939998930000002</v>
      </c>
      <c r="T107" s="5">
        <f>IF(D107="kaldi","",1+COUNTIF($S$5:$S$136,"&lt;"&amp;S107))</f>
        <v>90</v>
      </c>
    </row>
    <row r="108">
      <c r="A108" s="7" t="str">
        <f>Secenekler!A108</f>
        <v>lifeos-c</v>
      </c>
      <c r="B108" s="7" t="str">
        <f>Secenekler!C108</f>
        <v>Tek rutin yeni sekme şablonu: açık çekirdek ve ücretli kit</v>
      </c>
      <c r="C108" s="7" t="str">
        <f>Secenekler!B108</f>
        <v>LifeOS (yeni sekme ve alışkanlık eklentisi)</v>
      </c>
      <c r="D108" s="7" t="str">
        <f>Kapilar!K108</f>
        <v>test</v>
      </c>
      <c r="E108" s="8">
        <f>SUMPRODUCT(Puanlar!$C$3:$AB$3,Puanlar!C108:AB108)/5</f>
        <v>43</v>
      </c>
      <c r="F108" s="8">
        <f>SUMIF(Puanlar!C108:AB108,"&gt;=0",Puanlar!$C$3:$AB$3)</f>
        <v>100</v>
      </c>
      <c r="G108" s="8">
        <f>SUMPRODUCT(Puanlar!$C$3:$AB$3,Puanlar!C108:AB108,Guven!C108:AB108)/5</f>
        <v>13.22</v>
      </c>
      <c r="H108" s="9">
        <f>SUMPRODUCT(Puanlar!$C$3:$AB$3,Kanit!C108:AB108)/SUM(Puanlar!$C$3:$AB$3)</f>
        <v>0.08</v>
      </c>
      <c r="I108" s="8">
        <f>SUMPRODUCT(Puanlar!$AD$3:$AG$3,Puanlar!AD108:AG108)/5</f>
        <v>40</v>
      </c>
      <c r="J108" s="10">
        <f>Finans!AB108</f>
        <v>684</v>
      </c>
      <c r="K108" s="5">
        <f>Kanit!H108</f>
        <v>0</v>
      </c>
      <c r="L108" s="5">
        <f>IF(E108&gt;=Hedef!$C$10,1,0)</f>
        <v>0</v>
      </c>
      <c r="M108" s="5">
        <f>IF(AND(J108&gt;=Hedef!$C$5*Hedef!$C$11,Finans!AE108&lt;=Hedef!$C$14),1,0)</f>
        <v>0</v>
      </c>
      <c r="N108" s="7" t="str">
        <f>IF(D108="kaldi","Kapıda kaldı",IF(AND(D108="gecti",L108=1,K108&gt;=Hedef!$C$13,J108&gt;=Hedef!$C$5),"Yatırım yap",IF(AND(L108=1,M108=1),"Önce test et",IF(OR(L108=1,M108=1),"Değiştir",IF(I108&gt;=Hedef!$C$12,"Beklet","Bırak")))))</f>
        <v>Bırak</v>
      </c>
      <c r="O108" s="5">
        <f>IF(N108="Yatırım yap",0,IF(N108="Önce test et",1,IF(N108="Değiştir",2,IF(N108="Beklet",3,IF(N108="Bırak",4,9)))))</f>
        <v>4</v>
      </c>
      <c r="P108" s="22">
        <f>IF(D108="kaldi","",O108*1000-G108+108/1000000000)</f>
        <v>3986.780000108</v>
      </c>
      <c r="Q108" s="5">
        <f>IF(D108="kaldi","",1+COUNTIF($P$5:$P$136,"&lt;"&amp;P108))</f>
        <v>106</v>
      </c>
      <c r="R108" s="23">
        <f>IF(D108="kaldi","",E108*(1-IF(E108&gt;0,G108/E108,0))/MAX(1,Deneyler!F108))</f>
        <v>1.985333333333333</v>
      </c>
      <c r="S108" s="22">
        <f>IF(D108="kaldi","",-R108+108/1000000000)</f>
        <v>-1.985333225333333</v>
      </c>
      <c r="T108" s="5">
        <f>IF(D108="kaldi","",1+COUNTIF($S$5:$S$136,"&lt;"&amp;S108))</f>
        <v>22</v>
      </c>
    </row>
    <row r="109">
      <c r="A109" s="7" t="str">
        <f>Secenekler!A109</f>
        <v>luquit-a</v>
      </c>
      <c r="B109" s="7" t="str">
        <f>Secenekler!C109</f>
        <v>Emlakçı CRM Lite aylık abonelik (bağımsız ofis)</v>
      </c>
      <c r="C109" s="7" t="str">
        <f>Secenekler!B109</f>
        <v>Liquid glass bileşen kütüphanesi ve emlakçı CRM Lite</v>
      </c>
      <c r="D109" s="7" t="str">
        <f>Kapilar!K109</f>
        <v>kaldi</v>
      </c>
      <c r="E109" s="8">
        <f>SUMPRODUCT(Puanlar!$C$3:$AB$3,Puanlar!C109:AB109)/5</f>
        <v>50.6</v>
      </c>
      <c r="F109" s="8">
        <f>SUMIF(Puanlar!C109:AB109,"&gt;=0",Puanlar!$C$3:$AB$3)</f>
        <v>100</v>
      </c>
      <c r="G109" s="8">
        <f>SUMPRODUCT(Puanlar!$C$3:$AB$3,Puanlar!C109:AB109,Guven!C109:AB109)/5</f>
        <v>19.3</v>
      </c>
      <c r="H109" s="9">
        <f>SUMPRODUCT(Puanlar!$C$3:$AB$3,Kanit!C109:AB109)/SUM(Puanlar!$C$3:$AB$3)</f>
        <v>0.43</v>
      </c>
      <c r="I109" s="8">
        <f>SUMPRODUCT(Puanlar!$AD$3:$AG$3,Puanlar!AD109:AG109)/5</f>
        <v>60</v>
      </c>
      <c r="J109" s="10">
        <f>Finans!AB109</f>
        <v>-56150</v>
      </c>
      <c r="K109" s="5">
        <f>Kanit!H109</f>
        <v>1</v>
      </c>
      <c r="L109" s="5">
        <f>IF(E109&gt;=Hedef!$C$10,1,0)</f>
        <v>1</v>
      </c>
      <c r="M109" s="5">
        <f>IF(AND(J109&gt;=Hedef!$C$5*Hedef!$C$11,Finans!AE109&lt;=Hedef!$C$14),1,0)</f>
        <v>0</v>
      </c>
      <c r="N109" s="7" t="str">
        <f>IF(D109="kaldi","Kapıda kaldı",IF(AND(D109="gecti",L109=1,K109&gt;=Hedef!$C$13,J109&gt;=Hedef!$C$5),"Yatırım yap",IF(AND(L109=1,M109=1),"Önce test et",IF(OR(L109=1,M109=1),"Değiştir",IF(I109&gt;=Hedef!$C$12,"Beklet","Bırak")))))</f>
        <v>Kapıda kaldı</v>
      </c>
      <c r="O109" s="5">
        <f>IF(N109="Yatırım yap",0,IF(N109="Önce test et",1,IF(N109="Değiştir",2,IF(N109="Beklet",3,IF(N109="Bırak",4,9)))))</f>
        <v>9</v>
      </c>
      <c r="P109" s="22" t="str">
        <f>IF(D109="kaldi","",O109*1000-G109+109/1000000000)</f>
        <v/>
      </c>
      <c r="Q109" s="5" t="str">
        <f>IF(D109="kaldi","",1+COUNTIF($P$5:$P$136,"&lt;"&amp;P109))</f>
        <v/>
      </c>
      <c r="R109" s="23" t="str">
        <f>IF(D109="kaldi","",E109*(1-IF(E109&gt;0,G109/E109,0))/MAX(1,Deneyler!F109))</f>
        <v/>
      </c>
      <c r="S109" s="22" t="str">
        <f>IF(D109="kaldi","",-R109+109/1000000000)</f>
        <v/>
      </c>
      <c r="T109" s="5" t="str">
        <f>IF(D109="kaldi","",1+COUNTIF($S$5:$S$136,"&lt;"&amp;S109))</f>
        <v/>
      </c>
    </row>
    <row r="110">
      <c r="A110" s="7" t="str">
        <f>Secenekler!A110</f>
        <v>luquit-b</v>
      </c>
      <c r="B110" s="7" t="str">
        <f>Secenekler!C110</f>
        <v>Destekli cam arayüz yolculuk kiti (ajans ve freelancer)</v>
      </c>
      <c r="C110" s="7" t="str">
        <f>Secenekler!B110</f>
        <v>Liquid glass bileşen kütüphanesi ve emlakçı CRM Lite</v>
      </c>
      <c r="D110" s="7" t="str">
        <f>Kapilar!K110</f>
        <v>test</v>
      </c>
      <c r="E110" s="8">
        <f>SUMPRODUCT(Puanlar!$C$3:$AB$3,Puanlar!C110:AB110)/5</f>
        <v>52.2</v>
      </c>
      <c r="F110" s="8">
        <f>SUMIF(Puanlar!C110:AB110,"&gt;=0",Puanlar!$C$3:$AB$3)</f>
        <v>100</v>
      </c>
      <c r="G110" s="8">
        <f>SUMPRODUCT(Puanlar!$C$3:$AB$3,Puanlar!C110:AB110,Guven!C110:AB110)/5</f>
        <v>17.62</v>
      </c>
      <c r="H110" s="9">
        <f>SUMPRODUCT(Puanlar!$C$3:$AB$3,Kanit!C110:AB110)/SUM(Puanlar!$C$3:$AB$3)</f>
        <v>0.21</v>
      </c>
      <c r="I110" s="8">
        <f>SUMPRODUCT(Puanlar!$AD$3:$AG$3,Puanlar!AD110:AG110)/5</f>
        <v>45</v>
      </c>
      <c r="J110" s="10">
        <f>Finans!AB110</f>
        <v>-4350</v>
      </c>
      <c r="K110" s="5">
        <f>Kanit!H110</f>
        <v>1</v>
      </c>
      <c r="L110" s="5">
        <f>IF(E110&gt;=Hedef!$C$10,1,0)</f>
        <v>1</v>
      </c>
      <c r="M110" s="5">
        <f>IF(AND(J110&gt;=Hedef!$C$5*Hedef!$C$11,Finans!AE110&lt;=Hedef!$C$14),1,0)</f>
        <v>0</v>
      </c>
      <c r="N110" s="7" t="str">
        <f>IF(D110="kaldi","Kapıda kaldı",IF(AND(D110="gecti",L110=1,K110&gt;=Hedef!$C$13,J110&gt;=Hedef!$C$5),"Yatırım yap",IF(AND(L110=1,M110=1),"Önce test et",IF(OR(L110=1,M110=1),"Değiştir",IF(I110&gt;=Hedef!$C$12,"Beklet","Bırak")))))</f>
        <v>Değiştir</v>
      </c>
      <c r="O110" s="5">
        <f>IF(N110="Yatırım yap",0,IF(N110="Önce test et",1,IF(N110="Değiştir",2,IF(N110="Beklet",3,IF(N110="Bırak",4,9)))))</f>
        <v>2</v>
      </c>
      <c r="P110" s="22">
        <f>IF(D110="kaldi","",O110*1000-G110+110/1000000000)</f>
        <v>1982.38000011</v>
      </c>
      <c r="Q110" s="5">
        <f>IF(D110="kaldi","",1+COUNTIF($P$5:$P$136,"&lt;"&amp;P110))</f>
        <v>57</v>
      </c>
      <c r="R110" s="23">
        <f>IF(D110="kaldi","",E110*(1-IF(E110&gt;0,G110/E110,0))/MAX(1,Deneyler!F110))</f>
        <v>1.152666666666667</v>
      </c>
      <c r="S110" s="22">
        <f>IF(D110="kaldi","",-R110+110/1000000000)</f>
        <v>-1.152666556666667</v>
      </c>
      <c r="T110" s="5">
        <f>IF(D110="kaldi","",1+COUNTIF($S$5:$S$136,"&lt;"&amp;S110))</f>
        <v>58</v>
      </c>
    </row>
    <row r="111">
      <c r="A111" s="7" t="str">
        <f>Secenekler!A111</f>
        <v>metaframer-kernel-a</v>
      </c>
      <c r="B111" s="7" t="str">
        <f>Secenekler!C111</f>
        <v>tenantkit lisanslı kit (Solo ve Team, küresel)</v>
      </c>
      <c r="C111" s="7" t="str">
        <f>Secenekler!B111</f>
        <v>Çok kiracılı SaaS arka uç başlangıç kiti (metaframer-kernel)</v>
      </c>
      <c r="D111" s="7" t="str">
        <f>Kapilar!K111</f>
        <v>test</v>
      </c>
      <c r="E111" s="8">
        <f>SUMPRODUCT(Puanlar!$C$3:$AB$3,Puanlar!C111:AB111)/5</f>
        <v>55</v>
      </c>
      <c r="F111" s="8">
        <f>SUMIF(Puanlar!C111:AB111,"&gt;=0",Puanlar!$C$3:$AB$3)</f>
        <v>100</v>
      </c>
      <c r="G111" s="8">
        <f>SUMPRODUCT(Puanlar!$C$3:$AB$3,Puanlar!C111:AB111,Guven!C111:AB111)/5</f>
        <v>19.86</v>
      </c>
      <c r="H111" s="9">
        <f>SUMPRODUCT(Puanlar!$C$3:$AB$3,Kanit!C111:AB111)/SUM(Puanlar!$C$3:$AB$3)</f>
        <v>0.29</v>
      </c>
      <c r="I111" s="8">
        <f>SUMPRODUCT(Puanlar!$AD$3:$AG$3,Puanlar!AD111:AG111)/5</f>
        <v>60</v>
      </c>
      <c r="J111" s="10">
        <f>Finans!AB111</f>
        <v>52584</v>
      </c>
      <c r="K111" s="5">
        <f>Kanit!H111</f>
        <v>1</v>
      </c>
      <c r="L111" s="5">
        <f>IF(E111&gt;=Hedef!$C$10,1,0)</f>
        <v>1</v>
      </c>
      <c r="M111" s="5">
        <f>IF(AND(J111&gt;=Hedef!$C$5*Hedef!$C$11,Finans!AE111&lt;=Hedef!$C$14),1,0)</f>
        <v>0</v>
      </c>
      <c r="N111" s="7" t="str">
        <f>IF(D111="kaldi","Kapıda kaldı",IF(AND(D111="gecti",L111=1,K111&gt;=Hedef!$C$13,J111&gt;=Hedef!$C$5),"Yatırım yap",IF(AND(L111=1,M111=1),"Önce test et",IF(OR(L111=1,M111=1),"Değiştir",IF(I111&gt;=Hedef!$C$12,"Beklet","Bırak")))))</f>
        <v>Değiştir</v>
      </c>
      <c r="O111" s="5">
        <f>IF(N111="Yatırım yap",0,IF(N111="Önce test et",1,IF(N111="Değiştir",2,IF(N111="Beklet",3,IF(N111="Bırak",4,9)))))</f>
        <v>2</v>
      </c>
      <c r="P111" s="22">
        <f>IF(D111="kaldi","",O111*1000-G111+111/1000000000)</f>
        <v>1980.140000111</v>
      </c>
      <c r="Q111" s="5">
        <f>IF(D111="kaldi","",1+COUNTIF($P$5:$P$136,"&lt;"&amp;P111))</f>
        <v>29</v>
      </c>
      <c r="R111" s="23">
        <f>IF(D111="kaldi","",E111*(1-IF(E111&gt;0,G111/E111,0))/MAX(1,Deneyler!F111))</f>
        <v>0.5856666666666667</v>
      </c>
      <c r="S111" s="22">
        <f>IF(D111="kaldi","",-R111+111/1000000000)</f>
        <v>-0.5856665556666667</v>
      </c>
      <c r="T111" s="5">
        <f>IF(D111="kaldi","",1+COUNTIF($S$5:$S$136,"&lt;"&amp;S111))</f>
        <v>100</v>
      </c>
    </row>
    <row r="112">
      <c r="A112" s="7" t="str">
        <f>Secenekler!A112</f>
        <v>metaframer-kernel-b</v>
      </c>
      <c r="B112" s="7" t="str">
        <f>Secenekler!C112</f>
        <v>Ajans paketi: Team lisansı ve 1 günlük atölye (Türkiye)</v>
      </c>
      <c r="C112" s="7" t="str">
        <f>Secenekler!B112</f>
        <v>Çok kiracılı SaaS arka uç başlangıç kiti (metaframer-kernel)</v>
      </c>
      <c r="D112" s="7" t="str">
        <f>Kapilar!K112</f>
        <v>test</v>
      </c>
      <c r="E112" s="8">
        <f>SUMPRODUCT(Puanlar!$C$3:$AB$3,Puanlar!C112:AB112)/5</f>
        <v>45</v>
      </c>
      <c r="F112" s="8">
        <f>SUMIF(Puanlar!C112:AB112,"&gt;=0",Puanlar!$C$3:$AB$3)</f>
        <v>100</v>
      </c>
      <c r="G112" s="8">
        <f>SUMPRODUCT(Puanlar!$C$3:$AB$3,Puanlar!C112:AB112,Guven!C112:AB112)/5</f>
        <v>13.86</v>
      </c>
      <c r="H112" s="9">
        <f>SUMPRODUCT(Puanlar!$C$3:$AB$3,Kanit!C112:AB112)/SUM(Puanlar!$C$3:$AB$3)</f>
        <v>0.03</v>
      </c>
      <c r="I112" s="8">
        <f>SUMPRODUCT(Puanlar!$AD$3:$AG$3,Puanlar!AD112:AG112)/5</f>
        <v>45</v>
      </c>
      <c r="J112" s="10">
        <f>Finans!AB112</f>
        <v>8200</v>
      </c>
      <c r="K112" s="5">
        <f>Kanit!H112</f>
        <v>0</v>
      </c>
      <c r="L112" s="5">
        <f>IF(E112&gt;=Hedef!$C$10,1,0)</f>
        <v>1</v>
      </c>
      <c r="M112" s="5">
        <f>IF(AND(J112&gt;=Hedef!$C$5*Hedef!$C$11,Finans!AE112&lt;=Hedef!$C$14),1,0)</f>
        <v>0</v>
      </c>
      <c r="N112" s="7" t="str">
        <f>IF(D112="kaldi","Kapıda kaldı",IF(AND(D112="gecti",L112=1,K112&gt;=Hedef!$C$13,J112&gt;=Hedef!$C$5),"Yatırım yap",IF(AND(L112=1,M112=1),"Önce test et",IF(OR(L112=1,M112=1),"Değiştir",IF(I112&gt;=Hedef!$C$12,"Beklet","Bırak")))))</f>
        <v>Değiştir</v>
      </c>
      <c r="O112" s="5">
        <f>IF(N112="Yatırım yap",0,IF(N112="Önce test et",1,IF(N112="Değiştir",2,IF(N112="Beklet",3,IF(N112="Bırak",4,9)))))</f>
        <v>2</v>
      </c>
      <c r="P112" s="22">
        <f>IF(D112="kaldi","",O112*1000-G112+112/1000000000)</f>
        <v>1986.140000112</v>
      </c>
      <c r="Q112" s="5">
        <f>IF(D112="kaldi","",1+COUNTIF($P$5:$P$136,"&lt;"&amp;P112))</f>
        <v>94</v>
      </c>
      <c r="R112" s="23">
        <f>IF(D112="kaldi","",E112*(1-IF(E112&gt;0,G112/E112,0))/MAX(1,Deneyler!F112))</f>
        <v>0.7785</v>
      </c>
      <c r="S112" s="22">
        <f>IF(D112="kaldi","",-R112+112/1000000000)</f>
        <v>-0.7784998879999999</v>
      </c>
      <c r="T112" s="5">
        <f>IF(D112="kaldi","",1+COUNTIF($S$5:$S$136,"&lt;"&amp;S112))</f>
        <v>91</v>
      </c>
    </row>
    <row r="113">
      <c r="A113" s="7" t="str">
        <f>Secenekler!A113</f>
        <v>metaframer-kernel-c</v>
      </c>
      <c r="B113" s="7" t="str">
        <f>Secenekler!C113</f>
        <v>Tek eylem çok kiracılı güvenlik entegrasyon paketi</v>
      </c>
      <c r="C113" s="7" t="str">
        <f>Secenekler!B113</f>
        <v>Çok kiracılı SaaS arka uç başlangıç kiti (metaframer-kernel)</v>
      </c>
      <c r="D113" s="7" t="str">
        <f>Kapilar!K113</f>
        <v>test</v>
      </c>
      <c r="E113" s="8">
        <f>SUMPRODUCT(Puanlar!$C$3:$AB$3,Puanlar!C113:AB113)/5</f>
        <v>43.4</v>
      </c>
      <c r="F113" s="8">
        <f>SUMIF(Puanlar!C113:AB113,"&gt;=0",Puanlar!$C$3:$AB$3)</f>
        <v>100</v>
      </c>
      <c r="G113" s="8">
        <f>SUMPRODUCT(Puanlar!$C$3:$AB$3,Puanlar!C113:AB113,Guven!C113:AB113)/5</f>
        <v>14.06</v>
      </c>
      <c r="H113" s="9">
        <f>SUMPRODUCT(Puanlar!$C$3:$AB$3,Kanit!C113:AB113)/SUM(Puanlar!$C$3:$AB$3)</f>
        <v>0.1</v>
      </c>
      <c r="I113" s="8">
        <f>SUMPRODUCT(Puanlar!$AD$3:$AG$3,Puanlar!AD113:AG113)/5</f>
        <v>30</v>
      </c>
      <c r="J113" s="10">
        <f>Finans!AB113</f>
        <v>57900</v>
      </c>
      <c r="K113" s="5">
        <f>Kanit!H113</f>
        <v>0</v>
      </c>
      <c r="L113" s="5">
        <f>IF(E113&gt;=Hedef!$C$10,1,0)</f>
        <v>0</v>
      </c>
      <c r="M113" s="5">
        <f>IF(AND(J113&gt;=Hedef!$C$5*Hedef!$C$11,Finans!AE113&lt;=Hedef!$C$14),1,0)</f>
        <v>0</v>
      </c>
      <c r="N113" s="7" t="str">
        <f>IF(D113="kaldi","Kapıda kaldı",IF(AND(D113="gecti",L113=1,K113&gt;=Hedef!$C$13,J113&gt;=Hedef!$C$5),"Yatırım yap",IF(AND(L113=1,M113=1),"Önce test et",IF(OR(L113=1,M113=1),"Değiştir",IF(I113&gt;=Hedef!$C$12,"Beklet","Bırak")))))</f>
        <v>Bırak</v>
      </c>
      <c r="O113" s="5">
        <f>IF(N113="Yatırım yap",0,IF(N113="Önce test et",1,IF(N113="Değiştir",2,IF(N113="Beklet",3,IF(N113="Bırak",4,9)))))</f>
        <v>4</v>
      </c>
      <c r="P113" s="22">
        <f>IF(D113="kaldi","",O113*1000-G113+113/1000000000)</f>
        <v>3985.940000113</v>
      </c>
      <c r="Q113" s="5">
        <f>IF(D113="kaldi","",1+COUNTIF($P$5:$P$136,"&lt;"&amp;P113))</f>
        <v>101</v>
      </c>
      <c r="R113" s="23">
        <f>IF(D113="kaldi","",E113*(1-IF(E113&gt;0,G113/E113,0))/MAX(1,Deneyler!F113))</f>
        <v>0.4191428571428571</v>
      </c>
      <c r="S113" s="22">
        <f>IF(D113="kaldi","",-R113+113/1000000000)</f>
        <v>-0.4191427441428571</v>
      </c>
      <c r="T113" s="5">
        <f>IF(D113="kaldi","",1+COUNTIF($S$5:$S$136,"&lt;"&amp;S113))</f>
        <v>105</v>
      </c>
    </row>
    <row r="114">
      <c r="A114" s="7" t="str">
        <f>Secenekler!A114</f>
        <v>alan-adi-bulucu-a</v>
      </c>
      <c r="B114" s="7" t="str">
        <f>Secenekler!C114</f>
        <v>Proje paketi: Türkçe puanlı boş .com kısa liste aracı</v>
      </c>
      <c r="C114" s="7" t="str">
        <f>Secenekler!B114</f>
        <v>Marka adı ve boş alan adı bulucu</v>
      </c>
      <c r="D114" s="7" t="str">
        <f>Kapilar!K114</f>
        <v>test</v>
      </c>
      <c r="E114" s="8">
        <f>SUMPRODUCT(Puanlar!$C$3:$AB$3,Puanlar!C114:AB114)/5</f>
        <v>57.6</v>
      </c>
      <c r="F114" s="8">
        <f>SUMIF(Puanlar!C114:AB114,"&gt;=0",Puanlar!$C$3:$AB$3)</f>
        <v>100</v>
      </c>
      <c r="G114" s="8">
        <f>SUMPRODUCT(Puanlar!$C$3:$AB$3,Puanlar!C114:AB114,Guven!C114:AB114)/5</f>
        <v>19.8</v>
      </c>
      <c r="H114" s="9">
        <f>SUMPRODUCT(Puanlar!$C$3:$AB$3,Kanit!C114:AB114)/SUM(Puanlar!$C$3:$AB$3)</f>
        <v>0.23</v>
      </c>
      <c r="I114" s="8">
        <f>SUMPRODUCT(Puanlar!$AD$3:$AG$3,Puanlar!AD114:AG114)/5</f>
        <v>50</v>
      </c>
      <c r="J114" s="10">
        <f>Finans!AB114</f>
        <v>-3690</v>
      </c>
      <c r="K114" s="5">
        <f>Kanit!H114</f>
        <v>0</v>
      </c>
      <c r="L114" s="5">
        <f>IF(E114&gt;=Hedef!$C$10,1,0)</f>
        <v>1</v>
      </c>
      <c r="M114" s="5">
        <f>IF(AND(J114&gt;=Hedef!$C$5*Hedef!$C$11,Finans!AE114&lt;=Hedef!$C$14),1,0)</f>
        <v>0</v>
      </c>
      <c r="N114" s="7" t="str">
        <f>IF(D114="kaldi","Kapıda kaldı",IF(AND(D114="gecti",L114=1,K114&gt;=Hedef!$C$13,J114&gt;=Hedef!$C$5),"Yatırım yap",IF(AND(L114=1,M114=1),"Önce test et",IF(OR(L114=1,M114=1),"Değiştir",IF(I114&gt;=Hedef!$C$12,"Beklet","Bırak")))))</f>
        <v>Değiştir</v>
      </c>
      <c r="O114" s="5">
        <f>IF(N114="Yatırım yap",0,IF(N114="Önce test et",1,IF(N114="Değiştir",2,IF(N114="Beklet",3,IF(N114="Bırak",4,9)))))</f>
        <v>2</v>
      </c>
      <c r="P114" s="22">
        <f>IF(D114="kaldi","",O114*1000-G114+114/1000000000)</f>
        <v>1980.200000114</v>
      </c>
      <c r="Q114" s="5">
        <f>IF(D114="kaldi","",1+COUNTIF($P$5:$P$136,"&lt;"&amp;P114))</f>
        <v>31</v>
      </c>
      <c r="R114" s="23">
        <f>IF(D114="kaldi","",E114*(1-IF(E114&gt;0,G114/E114,0))/MAX(1,Deneyler!F114))</f>
        <v>1.89</v>
      </c>
      <c r="S114" s="22">
        <f>IF(D114="kaldi","",-R114+114/1000000000)</f>
        <v>-1.889999886</v>
      </c>
      <c r="T114" s="5">
        <f>IF(D114="kaldi","",1+COUNTIF($S$5:$S$136,"&lt;"&amp;S114))</f>
        <v>25</v>
      </c>
    </row>
    <row r="115">
      <c r="A115" s="7" t="str">
        <f>Secenekler!A115</f>
        <v>alan-adi-bulucu-b</v>
      </c>
      <c r="B115" s="7" t="str">
        <f>Secenekler!C115</f>
        <v>Ajans yıllık paketi: puanlı kısa liste ve müşteri teslim şablonu</v>
      </c>
      <c r="C115" s="7" t="str">
        <f>Secenekler!B115</f>
        <v>Marka adı ve boş alan adı bulucu</v>
      </c>
      <c r="D115" s="7" t="str">
        <f>Kapilar!K115</f>
        <v>test</v>
      </c>
      <c r="E115" s="8">
        <f>SUMPRODUCT(Puanlar!$C$3:$AB$3,Puanlar!C115:AB115)/5</f>
        <v>47.2</v>
      </c>
      <c r="F115" s="8">
        <f>SUMIF(Puanlar!C115:AB115,"&gt;=0",Puanlar!$C$3:$AB$3)</f>
        <v>100</v>
      </c>
      <c r="G115" s="8">
        <f>SUMPRODUCT(Puanlar!$C$3:$AB$3,Puanlar!C115:AB115,Guven!C115:AB115)/5</f>
        <v>14.84</v>
      </c>
      <c r="H115" s="9">
        <f>SUMPRODUCT(Puanlar!$C$3:$AB$3,Kanit!C115:AB115)/SUM(Puanlar!$C$3:$AB$3)</f>
        <v>0.07</v>
      </c>
      <c r="I115" s="8">
        <f>SUMPRODUCT(Puanlar!$AD$3:$AG$3,Puanlar!AD115:AG115)/5</f>
        <v>45</v>
      </c>
      <c r="J115" s="10">
        <f>Finans!AB115</f>
        <v>-7592</v>
      </c>
      <c r="K115" s="5">
        <f>Kanit!H115</f>
        <v>0</v>
      </c>
      <c r="L115" s="5">
        <f>IF(E115&gt;=Hedef!$C$10,1,0)</f>
        <v>1</v>
      </c>
      <c r="M115" s="5">
        <f>IF(AND(J115&gt;=Hedef!$C$5*Hedef!$C$11,Finans!AE115&lt;=Hedef!$C$14),1,0)</f>
        <v>0</v>
      </c>
      <c r="N115" s="7" t="str">
        <f>IF(D115="kaldi","Kapıda kaldı",IF(AND(D115="gecti",L115=1,K115&gt;=Hedef!$C$13,J115&gt;=Hedef!$C$5),"Yatırım yap",IF(AND(L115=1,M115=1),"Önce test et",IF(OR(L115=1,M115=1),"Değiştir",IF(I115&gt;=Hedef!$C$12,"Beklet","Bırak")))))</f>
        <v>Değiştir</v>
      </c>
      <c r="O115" s="5">
        <f>IF(N115="Yatırım yap",0,IF(N115="Önce test et",1,IF(N115="Değiştir",2,IF(N115="Beklet",3,IF(N115="Bırak",4,9)))))</f>
        <v>2</v>
      </c>
      <c r="P115" s="22">
        <f>IF(D115="kaldi","",O115*1000-G115+115/1000000000)</f>
        <v>1985.160000115</v>
      </c>
      <c r="Q115" s="5">
        <f>IF(D115="kaldi","",1+COUNTIF($P$5:$P$136,"&lt;"&amp;P115))</f>
        <v>87</v>
      </c>
      <c r="R115" s="23">
        <f>IF(D115="kaldi","",E115*(1-IF(E115&gt;0,G115/E115,0))/MAX(1,Deneyler!F115))</f>
        <v>2.157333333333333</v>
      </c>
      <c r="S115" s="22">
        <f>IF(D115="kaldi","",-R115+115/1000000000)</f>
        <v>-2.157333218333333</v>
      </c>
      <c r="T115" s="5">
        <f>IF(D115="kaldi","",1+COUNTIF($S$5:$S$136,"&lt;"&amp;S115))</f>
        <v>20</v>
      </c>
    </row>
    <row r="116">
      <c r="A116" s="7" t="str">
        <f>Secenekler!A116</f>
        <v>alan-adi-bulucu-c</v>
      </c>
      <c r="B116" s="7" t="str">
        <f>Secenekler!C116</f>
        <v>Elle teslim: 10 adaylık güncel boş .com karar dosyası</v>
      </c>
      <c r="C116" s="7" t="str">
        <f>Secenekler!B116</f>
        <v>Marka adı ve boş alan adı bulucu</v>
      </c>
      <c r="D116" s="7" t="str">
        <f>Kapilar!K116</f>
        <v>test</v>
      </c>
      <c r="E116" s="8">
        <f>SUMPRODUCT(Puanlar!$C$3:$AB$3,Puanlar!C116:AB116)/5</f>
        <v>52.6</v>
      </c>
      <c r="F116" s="8">
        <f>SUMIF(Puanlar!C116:AB116,"&gt;=0",Puanlar!$C$3:$AB$3)</f>
        <v>100</v>
      </c>
      <c r="G116" s="8">
        <f>SUMPRODUCT(Puanlar!$C$3:$AB$3,Puanlar!C116:AB116,Guven!C116:AB116)/5</f>
        <v>17.58</v>
      </c>
      <c r="H116" s="9">
        <f>SUMPRODUCT(Puanlar!$C$3:$AB$3,Kanit!C116:AB116)/SUM(Puanlar!$C$3:$AB$3)</f>
        <v>0.18</v>
      </c>
      <c r="I116" s="8">
        <f>SUMPRODUCT(Puanlar!$AD$3:$AG$3,Puanlar!AD116:AG116)/5</f>
        <v>30</v>
      </c>
      <c r="J116" s="10">
        <f>Finans!AB116</f>
        <v>3068</v>
      </c>
      <c r="K116" s="5">
        <f>Kanit!H116</f>
        <v>0</v>
      </c>
      <c r="L116" s="5">
        <f>IF(E116&gt;=Hedef!$C$10,1,0)</f>
        <v>1</v>
      </c>
      <c r="M116" s="5">
        <f>IF(AND(J116&gt;=Hedef!$C$5*Hedef!$C$11,Finans!AE116&lt;=Hedef!$C$14),1,0)</f>
        <v>0</v>
      </c>
      <c r="N116" s="7" t="str">
        <f>IF(D116="kaldi","Kapıda kaldı",IF(AND(D116="gecti",L116=1,K116&gt;=Hedef!$C$13,J116&gt;=Hedef!$C$5),"Yatırım yap",IF(AND(L116=1,M116=1),"Önce test et",IF(OR(L116=1,M116=1),"Değiştir",IF(I116&gt;=Hedef!$C$12,"Beklet","Bırak")))))</f>
        <v>Değiştir</v>
      </c>
      <c r="O116" s="5">
        <f>IF(N116="Yatırım yap",0,IF(N116="Önce test et",1,IF(N116="Değiştir",2,IF(N116="Beklet",3,IF(N116="Bırak",4,9)))))</f>
        <v>2</v>
      </c>
      <c r="P116" s="22">
        <f>IF(D116="kaldi","",O116*1000-G116+116/1000000000)</f>
        <v>1982.420000116</v>
      </c>
      <c r="Q116" s="5">
        <f>IF(D116="kaldi","",1+COUNTIF($P$5:$P$136,"&lt;"&amp;P116))</f>
        <v>59</v>
      </c>
      <c r="R116" s="23">
        <f>IF(D116="kaldi","",E116*(1-IF(E116&gt;0,G116/E116,0))/MAX(1,Deneyler!F116))</f>
        <v>2.918333333333333</v>
      </c>
      <c r="S116" s="22">
        <f>IF(D116="kaldi","",-R116+116/1000000000)</f>
        <v>-2.918333217333334</v>
      </c>
      <c r="T116" s="5">
        <f>IF(D116="kaldi","",1+COUNTIF($S$5:$S$136,"&lt;"&amp;S116))</f>
        <v>3</v>
      </c>
    </row>
    <row r="117">
      <c r="A117" s="7" t="str">
        <f>Secenekler!A117</f>
        <v>projector-a</v>
      </c>
      <c r="B117" s="7" t="str">
        <f>Secenekler!C117</f>
        <v>Türkçe SaaS mimarisi e-kitabı ön satışı</v>
      </c>
      <c r="C117" s="7" t="str">
        <f>Secenekler!B117</f>
        <v>Kurumsal SaaS mimarisi içerik ürünü (projector)</v>
      </c>
      <c r="D117" s="7" t="str">
        <f>Kapilar!K117</f>
        <v>test</v>
      </c>
      <c r="E117" s="8">
        <f>SUMPRODUCT(Puanlar!$C$3:$AB$3,Puanlar!C117:AB117)/5</f>
        <v>55.2</v>
      </c>
      <c r="F117" s="8">
        <f>SUMIF(Puanlar!C117:AB117,"&gt;=0",Puanlar!$C$3:$AB$3)</f>
        <v>100</v>
      </c>
      <c r="G117" s="8">
        <f>SUMPRODUCT(Puanlar!$C$3:$AB$3,Puanlar!C117:AB117,Guven!C117:AB117)/5</f>
        <v>19.84</v>
      </c>
      <c r="H117" s="9">
        <f>SUMPRODUCT(Puanlar!$C$3:$AB$3,Kanit!C117:AB117)/SUM(Puanlar!$C$3:$AB$3)</f>
        <v>0.31</v>
      </c>
      <c r="I117" s="8">
        <f>SUMPRODUCT(Puanlar!$AD$3:$AG$3,Puanlar!AD117:AG117)/5</f>
        <v>55</v>
      </c>
      <c r="J117" s="10">
        <f>Finans!AB117</f>
        <v>-25260</v>
      </c>
      <c r="K117" s="5">
        <f>Kanit!H117</f>
        <v>1</v>
      </c>
      <c r="L117" s="5">
        <f>IF(E117&gt;=Hedef!$C$10,1,0)</f>
        <v>1</v>
      </c>
      <c r="M117" s="5">
        <f>IF(AND(J117&gt;=Hedef!$C$5*Hedef!$C$11,Finans!AE117&lt;=Hedef!$C$14),1,0)</f>
        <v>0</v>
      </c>
      <c r="N117" s="7" t="str">
        <f>IF(D117="kaldi","Kapıda kaldı",IF(AND(D117="gecti",L117=1,K117&gt;=Hedef!$C$13,J117&gt;=Hedef!$C$5),"Yatırım yap",IF(AND(L117=1,M117=1),"Önce test et",IF(OR(L117=1,M117=1),"Değiştir",IF(I117&gt;=Hedef!$C$12,"Beklet","Bırak")))))</f>
        <v>Değiştir</v>
      </c>
      <c r="O117" s="5">
        <f>IF(N117="Yatırım yap",0,IF(N117="Önce test et",1,IF(N117="Değiştir",2,IF(N117="Beklet",3,IF(N117="Bırak",4,9)))))</f>
        <v>2</v>
      </c>
      <c r="P117" s="22">
        <f>IF(D117="kaldi","",O117*1000-G117+117/1000000000)</f>
        <v>1980.160000117</v>
      </c>
      <c r="Q117" s="5">
        <f>IF(D117="kaldi","",1+COUNTIF($P$5:$P$136,"&lt;"&amp;P117))</f>
        <v>30</v>
      </c>
      <c r="R117" s="23">
        <f>IF(D117="kaldi","",E117*(1-IF(E117&gt;0,G117/E117,0))/MAX(1,Deneyler!F117))</f>
        <v>0.884</v>
      </c>
      <c r="S117" s="22">
        <f>IF(D117="kaldi","",-R117+117/1000000000)</f>
        <v>-0.883999883</v>
      </c>
      <c r="T117" s="5">
        <f>IF(D117="kaldi","",1+COUNTIF($S$5:$S$136,"&lt;"&amp;S117))</f>
        <v>75</v>
      </c>
    </row>
    <row r="118">
      <c r="A118" s="7" t="str">
        <f>Secenekler!A118</f>
        <v>projector-b</v>
      </c>
      <c r="B118" s="7" t="str">
        <f>Secenekler!C118</f>
        <v>İki günlük ekip atölyesi: Kurumsal SaaS mimarisi</v>
      </c>
      <c r="C118" s="7" t="str">
        <f>Secenekler!B118</f>
        <v>Kurumsal SaaS mimarisi içerik ürünü (projector)</v>
      </c>
      <c r="D118" s="7" t="str">
        <f>Kapilar!K118</f>
        <v>test</v>
      </c>
      <c r="E118" s="8">
        <f>SUMPRODUCT(Puanlar!$C$3:$AB$3,Puanlar!C118:AB118)/5</f>
        <v>45</v>
      </c>
      <c r="F118" s="8">
        <f>SUMIF(Puanlar!C118:AB118,"&gt;=0",Puanlar!$C$3:$AB$3)</f>
        <v>100</v>
      </c>
      <c r="G118" s="8">
        <f>SUMPRODUCT(Puanlar!$C$3:$AB$3,Puanlar!C118:AB118,Guven!C118:AB118)/5</f>
        <v>14.5</v>
      </c>
      <c r="H118" s="9">
        <f>SUMPRODUCT(Puanlar!$C$3:$AB$3,Kanit!C118:AB118)/SUM(Puanlar!$C$3:$AB$3)</f>
        <v>0.15</v>
      </c>
      <c r="I118" s="8">
        <f>SUMPRODUCT(Puanlar!$AD$3:$AG$3,Puanlar!AD118:AG118)/5</f>
        <v>30</v>
      </c>
      <c r="J118" s="10">
        <f>Finans!AB118</f>
        <v>-23000</v>
      </c>
      <c r="K118" s="5">
        <f>Kanit!H118</f>
        <v>0</v>
      </c>
      <c r="L118" s="5">
        <f>IF(E118&gt;=Hedef!$C$10,1,0)</f>
        <v>1</v>
      </c>
      <c r="M118" s="5">
        <f>IF(AND(J118&gt;=Hedef!$C$5*Hedef!$C$11,Finans!AE118&lt;=Hedef!$C$14),1,0)</f>
        <v>0</v>
      </c>
      <c r="N118" s="7" t="str">
        <f>IF(D118="kaldi","Kapıda kaldı",IF(AND(D118="gecti",L118=1,K118&gt;=Hedef!$C$13,J118&gt;=Hedef!$C$5),"Yatırım yap",IF(AND(L118=1,M118=1),"Önce test et",IF(OR(L118=1,M118=1),"Değiştir",IF(I118&gt;=Hedef!$C$12,"Beklet","Bırak")))))</f>
        <v>Değiştir</v>
      </c>
      <c r="O118" s="5">
        <f>IF(N118="Yatırım yap",0,IF(N118="Önce test et",1,IF(N118="Değiştir",2,IF(N118="Beklet",3,IF(N118="Bırak",4,9)))))</f>
        <v>2</v>
      </c>
      <c r="P118" s="22">
        <f>IF(D118="kaldi","",O118*1000-G118+118/1000000000)</f>
        <v>1985.500000118</v>
      </c>
      <c r="Q118" s="5">
        <f>IF(D118="kaldi","",1+COUNTIF($P$5:$P$136,"&lt;"&amp;P118))</f>
        <v>89</v>
      </c>
      <c r="R118" s="23">
        <f>IF(D118="kaldi","",E118*(1-IF(E118&gt;0,G118/E118,0))/MAX(1,Deneyler!F118))</f>
        <v>1.22</v>
      </c>
      <c r="S118" s="22">
        <f>IF(D118="kaldi","",-R118+118/1000000000)</f>
        <v>-1.219999882</v>
      </c>
      <c r="T118" s="5">
        <f>IF(D118="kaldi","",1+COUNTIF($S$5:$S$136,"&lt;"&amp;S118))</f>
        <v>51</v>
      </c>
    </row>
    <row r="119">
      <c r="A119" s="7" t="str">
        <f>Secenekler!A119</f>
        <v>projector-c</v>
      </c>
      <c r="B119" s="7" t="str">
        <f>Secenekler!C119</f>
        <v>Kaynaklı teslim portalı: 30 dokümanlık migration pilotu</v>
      </c>
      <c r="C119" s="7" t="str">
        <f>Secenekler!B119</f>
        <v>Kurumsal SaaS mimarisi içerik ürünü (projector)</v>
      </c>
      <c r="D119" s="7" t="str">
        <f>Kapilar!K119</f>
        <v>test</v>
      </c>
      <c r="E119" s="8">
        <f>SUMPRODUCT(Puanlar!$C$3:$AB$3,Puanlar!C119:AB119)/5</f>
        <v>40.6</v>
      </c>
      <c r="F119" s="8">
        <f>SUMIF(Puanlar!C119:AB119,"&gt;=0",Puanlar!$C$3:$AB$3)</f>
        <v>100</v>
      </c>
      <c r="G119" s="8">
        <f>SUMPRODUCT(Puanlar!$C$3:$AB$3,Puanlar!C119:AB119,Guven!C119:AB119)/5</f>
        <v>13.1</v>
      </c>
      <c r="H119" s="9">
        <f>SUMPRODUCT(Puanlar!$C$3:$AB$3,Kanit!C119:AB119)/SUM(Puanlar!$C$3:$AB$3)</f>
        <v>0.1</v>
      </c>
      <c r="I119" s="8">
        <f>SUMPRODUCT(Puanlar!$AD$3:$AG$3,Puanlar!AD119:AG119)/5</f>
        <v>40</v>
      </c>
      <c r="J119" s="10">
        <f>Finans!AB119</f>
        <v>3400</v>
      </c>
      <c r="K119" s="5">
        <f>Kanit!H119</f>
        <v>0</v>
      </c>
      <c r="L119" s="5">
        <f>IF(E119&gt;=Hedef!$C$10,1,0)</f>
        <v>0</v>
      </c>
      <c r="M119" s="5">
        <f>IF(AND(J119&gt;=Hedef!$C$5*Hedef!$C$11,Finans!AE119&lt;=Hedef!$C$14),1,0)</f>
        <v>0</v>
      </c>
      <c r="N119" s="7" t="str">
        <f>IF(D119="kaldi","Kapıda kaldı",IF(AND(D119="gecti",L119=1,K119&gt;=Hedef!$C$13,J119&gt;=Hedef!$C$5),"Yatırım yap",IF(AND(L119=1,M119=1),"Önce test et",IF(OR(L119=1,M119=1),"Değiştir",IF(I119&gt;=Hedef!$C$12,"Beklet","Bırak")))))</f>
        <v>Bırak</v>
      </c>
      <c r="O119" s="5">
        <f>IF(N119="Yatırım yap",0,IF(N119="Önce test et",1,IF(N119="Değiştir",2,IF(N119="Beklet",3,IF(N119="Bırak",4,9)))))</f>
        <v>4</v>
      </c>
      <c r="P119" s="22">
        <f>IF(D119="kaldi","",O119*1000-G119+119/1000000000)</f>
        <v>3986.900000119</v>
      </c>
      <c r="Q119" s="5">
        <f>IF(D119="kaldi","",1+COUNTIF($P$5:$P$136,"&lt;"&amp;P119))</f>
        <v>109</v>
      </c>
      <c r="R119" s="23">
        <f>IF(D119="kaldi","",E119*(1-IF(E119&gt;0,G119/E119,0))/MAX(1,Deneyler!F119))</f>
        <v>1.375</v>
      </c>
      <c r="S119" s="22">
        <f>IF(D119="kaldi","",-R119+119/1000000000)</f>
        <v>-1.374999881</v>
      </c>
      <c r="T119" s="5">
        <f>IF(D119="kaldi","",1+COUNTIF($S$5:$S$136,"&lt;"&amp;S119))</f>
        <v>45</v>
      </c>
    </row>
    <row r="120">
      <c r="A120" s="7" t="str">
        <f>Secenekler!A120</f>
        <v>kurucu-pusulasi-a</v>
      </c>
      <c r="B120" s="7" t="str">
        <f>Secenekler!C120</f>
        <v>Kurucu Pusulası şablonu, bireysel satış</v>
      </c>
      <c r="C120" s="7" t="str">
        <f>Secenekler!B120</f>
        <v>Kurucu Pusulası şablonu ve Kitap Atlası</v>
      </c>
      <c r="D120" s="7" t="str">
        <f>Kapilar!K120</f>
        <v>test</v>
      </c>
      <c r="E120" s="8">
        <f>SUMPRODUCT(Puanlar!$C$3:$AB$3,Puanlar!C120:AB120)/5</f>
        <v>56.2</v>
      </c>
      <c r="F120" s="8">
        <f>SUMIF(Puanlar!C120:AB120,"&gt;=0",Puanlar!$C$3:$AB$3)</f>
        <v>100</v>
      </c>
      <c r="G120" s="8">
        <f>SUMPRODUCT(Puanlar!$C$3:$AB$3,Puanlar!C120:AB120,Guven!C120:AB120)/5</f>
        <v>20.1</v>
      </c>
      <c r="H120" s="9">
        <f>SUMPRODUCT(Puanlar!$C$3:$AB$3,Kanit!C120:AB120)/SUM(Puanlar!$C$3:$AB$3)</f>
        <v>0.35</v>
      </c>
      <c r="I120" s="8">
        <f>SUMPRODUCT(Puanlar!$AD$3:$AG$3,Puanlar!AD120:AG120)/5</f>
        <v>50</v>
      </c>
      <c r="J120" s="10">
        <f>Finans!AB120</f>
        <v>-2475</v>
      </c>
      <c r="K120" s="5">
        <f>Kanit!H120</f>
        <v>1</v>
      </c>
      <c r="L120" s="5">
        <f>IF(E120&gt;=Hedef!$C$10,1,0)</f>
        <v>1</v>
      </c>
      <c r="M120" s="5">
        <f>IF(AND(J120&gt;=Hedef!$C$5*Hedef!$C$11,Finans!AE120&lt;=Hedef!$C$14),1,0)</f>
        <v>0</v>
      </c>
      <c r="N120" s="7" t="str">
        <f>IF(D120="kaldi","Kapıda kaldı",IF(AND(D120="gecti",L120=1,K120&gt;=Hedef!$C$13,J120&gt;=Hedef!$C$5),"Yatırım yap",IF(AND(L120=1,M120=1),"Önce test et",IF(OR(L120=1,M120=1),"Değiştir",IF(I120&gt;=Hedef!$C$12,"Beklet","Bırak")))))</f>
        <v>Değiştir</v>
      </c>
      <c r="O120" s="5">
        <f>IF(N120="Yatırım yap",0,IF(N120="Önce test et",1,IF(N120="Değiştir",2,IF(N120="Beklet",3,IF(N120="Bırak",4,9)))))</f>
        <v>2</v>
      </c>
      <c r="P120" s="22">
        <f>IF(D120="kaldi","",O120*1000-G120+120/1000000000)</f>
        <v>1979.90000012</v>
      </c>
      <c r="Q120" s="5">
        <f>IF(D120="kaldi","",1+COUNTIF($P$5:$P$136,"&lt;"&amp;P120))</f>
        <v>25</v>
      </c>
      <c r="R120" s="23">
        <f>IF(D120="kaldi","",E120*(1-IF(E120&gt;0,G120/E120,0))/MAX(1,Deneyler!F120))</f>
        <v>1.203333333333333</v>
      </c>
      <c r="S120" s="22">
        <f>IF(D120="kaldi","",-R120+120/1000000000)</f>
        <v>-1.203333213333333</v>
      </c>
      <c r="T120" s="5">
        <f>IF(D120="kaldi","",1+COUNTIF($S$5:$S$136,"&lt;"&amp;S120))</f>
        <v>52</v>
      </c>
    </row>
    <row r="121">
      <c r="A121" s="7" t="str">
        <f>Secenekler!A121</f>
        <v>kurucu-pusulasi-b</v>
      </c>
      <c r="B121" s="7" t="str">
        <f>Secenekler!C121</f>
        <v>Mentor sürümü, kuluçka programlarına kurum lisansı</v>
      </c>
      <c r="C121" s="7" t="str">
        <f>Secenekler!B121</f>
        <v>Kurucu Pusulası şablonu ve Kitap Atlası</v>
      </c>
      <c r="D121" s="7" t="str">
        <f>Kapilar!K121</f>
        <v>test</v>
      </c>
      <c r="E121" s="8">
        <f>SUMPRODUCT(Puanlar!$C$3:$AB$3,Puanlar!C121:AB121)/5</f>
        <v>43.2</v>
      </c>
      <c r="F121" s="8">
        <f>SUMIF(Puanlar!C121:AB121,"&gt;=0",Puanlar!$C$3:$AB$3)</f>
        <v>100</v>
      </c>
      <c r="G121" s="8">
        <f>SUMPRODUCT(Puanlar!$C$3:$AB$3,Puanlar!C121:AB121,Guven!C121:AB121)/5</f>
        <v>13.12</v>
      </c>
      <c r="H121" s="9">
        <f>SUMPRODUCT(Puanlar!$C$3:$AB$3,Kanit!C121:AB121)/SUM(Puanlar!$C$3:$AB$3)</f>
        <v>0.04</v>
      </c>
      <c r="I121" s="8">
        <f>SUMPRODUCT(Puanlar!$AD$3:$AG$3,Puanlar!AD121:AG121)/5</f>
        <v>35</v>
      </c>
      <c r="J121" s="10">
        <f>Finans!AB121</f>
        <v>-7340</v>
      </c>
      <c r="K121" s="5">
        <f>Kanit!H121</f>
        <v>0</v>
      </c>
      <c r="L121" s="5">
        <f>IF(E121&gt;=Hedef!$C$10,1,0)</f>
        <v>0</v>
      </c>
      <c r="M121" s="5">
        <f>IF(AND(J121&gt;=Hedef!$C$5*Hedef!$C$11,Finans!AE121&lt;=Hedef!$C$14),1,0)</f>
        <v>0</v>
      </c>
      <c r="N121" s="7" t="str">
        <f>IF(D121="kaldi","Kapıda kaldı",IF(AND(D121="gecti",L121=1,K121&gt;=Hedef!$C$13,J121&gt;=Hedef!$C$5),"Yatırım yap",IF(AND(L121=1,M121=1),"Önce test et",IF(OR(L121=1,M121=1),"Değiştir",IF(I121&gt;=Hedef!$C$12,"Beklet","Bırak")))))</f>
        <v>Bırak</v>
      </c>
      <c r="O121" s="5">
        <f>IF(N121="Yatırım yap",0,IF(N121="Önce test et",1,IF(N121="Değiştir",2,IF(N121="Beklet",3,IF(N121="Bırak",4,9)))))</f>
        <v>4</v>
      </c>
      <c r="P121" s="22">
        <f>IF(D121="kaldi","",O121*1000-G121+121/1000000000)</f>
        <v>3986.880000121</v>
      </c>
      <c r="Q121" s="5">
        <f>IF(D121="kaldi","",1+COUNTIF($P$5:$P$136,"&lt;"&amp;P121))</f>
        <v>108</v>
      </c>
      <c r="R121" s="23">
        <f>IF(D121="kaldi","",E121*(1-IF(E121&gt;0,G121/E121,0))/MAX(1,Deneyler!F121))</f>
        <v>1.2032</v>
      </c>
      <c r="S121" s="22">
        <f>IF(D121="kaldi","",-R121+121/1000000000)</f>
        <v>-1.203199879</v>
      </c>
      <c r="T121" s="5">
        <f>IF(D121="kaldi","",1+COUNTIF($S$5:$S$136,"&lt;"&amp;S121))</f>
        <v>53</v>
      </c>
    </row>
    <row r="122">
      <c r="A122" s="7" t="str">
        <f>Secenekler!A122</f>
        <v>kurucu-pusulasi-c</v>
      </c>
      <c r="B122" s="7" t="str">
        <f>Secenekler!C122</f>
        <v>Kitap Atlası, çevirmen künyeli ortaklık sitesi</v>
      </c>
      <c r="C122" s="7" t="str">
        <f>Secenekler!B122</f>
        <v>Kurucu Pusulası şablonu ve Kitap Atlası</v>
      </c>
      <c r="D122" s="7" t="str">
        <f>Kapilar!K122</f>
        <v>test</v>
      </c>
      <c r="E122" s="8">
        <f>SUMPRODUCT(Puanlar!$C$3:$AB$3,Puanlar!C122:AB122)/5</f>
        <v>54.2</v>
      </c>
      <c r="F122" s="8">
        <f>SUMIF(Puanlar!C122:AB122,"&gt;=0",Puanlar!$C$3:$AB$3)</f>
        <v>100</v>
      </c>
      <c r="G122" s="8">
        <f>SUMPRODUCT(Puanlar!$C$3:$AB$3,Puanlar!C122:AB122,Guven!C122:AB122)/5</f>
        <v>20.78</v>
      </c>
      <c r="H122" s="9">
        <f>SUMPRODUCT(Puanlar!$C$3:$AB$3,Kanit!C122:AB122)/SUM(Puanlar!$C$3:$AB$3)</f>
        <v>0.34</v>
      </c>
      <c r="I122" s="8">
        <f>SUMPRODUCT(Puanlar!$AD$3:$AG$3,Puanlar!AD122:AG122)/5</f>
        <v>50</v>
      </c>
      <c r="J122" s="10">
        <f>Finans!AB122</f>
        <v>-1206</v>
      </c>
      <c r="K122" s="5">
        <f>Kanit!H122</f>
        <v>0</v>
      </c>
      <c r="L122" s="5">
        <f>IF(E122&gt;=Hedef!$C$10,1,0)</f>
        <v>1</v>
      </c>
      <c r="M122" s="5">
        <f>IF(AND(J122&gt;=Hedef!$C$5*Hedef!$C$11,Finans!AE122&lt;=Hedef!$C$14),1,0)</f>
        <v>0</v>
      </c>
      <c r="N122" s="7" t="str">
        <f>IF(D122="kaldi","Kapıda kaldı",IF(AND(D122="gecti",L122=1,K122&gt;=Hedef!$C$13,J122&gt;=Hedef!$C$5),"Yatırım yap",IF(AND(L122=1,M122=1),"Önce test et",IF(OR(L122=1,M122=1),"Değiştir",IF(I122&gt;=Hedef!$C$12,"Beklet","Bırak")))))</f>
        <v>Değiştir</v>
      </c>
      <c r="O122" s="5">
        <f>IF(N122="Yatırım yap",0,IF(N122="Önce test et",1,IF(N122="Değiştir",2,IF(N122="Beklet",3,IF(N122="Bırak",4,9)))))</f>
        <v>2</v>
      </c>
      <c r="P122" s="22">
        <f>IF(D122="kaldi","",O122*1000-G122+122/1000000000)</f>
        <v>1979.220000122</v>
      </c>
      <c r="Q122" s="5">
        <f>IF(D122="kaldi","",1+COUNTIF($P$5:$P$136,"&lt;"&amp;P122))</f>
        <v>19</v>
      </c>
      <c r="R122" s="23">
        <f>IF(D122="kaldi","",E122*(1-IF(E122&gt;0,G122/E122,0))/MAX(1,Deneyler!F122))</f>
        <v>2.387142857142857</v>
      </c>
      <c r="S122" s="22">
        <f>IF(D122="kaldi","",-R122+122/1000000000)</f>
        <v>-2.387142735142858</v>
      </c>
      <c r="T122" s="5">
        <f>IF(D122="kaldi","",1+COUNTIF($S$5:$S$136,"&lt;"&amp;S122))</f>
        <v>15</v>
      </c>
    </row>
    <row r="123">
      <c r="A123" s="7" t="str">
        <f>Secenekler!A123</f>
        <v>signator-a</v>
      </c>
      <c r="B123" s="7" t="str">
        <f>Secenekler!C123</f>
        <v>Ajans paketi: white-label toplu imza ve KVKK altbilgi</v>
      </c>
      <c r="C123" s="7" t="str">
        <f>Secenekler!B123</f>
        <v>signator (e-posta imzası üreticisi)</v>
      </c>
      <c r="D123" s="7" t="str">
        <f>Kapilar!K123</f>
        <v>test</v>
      </c>
      <c r="E123" s="8">
        <f>SUMPRODUCT(Puanlar!$C$3:$AB$3,Puanlar!C123:AB123)/5</f>
        <v>49.2</v>
      </c>
      <c r="F123" s="8">
        <f>SUMIF(Puanlar!C123:AB123,"&gt;=0",Puanlar!$C$3:$AB$3)</f>
        <v>100</v>
      </c>
      <c r="G123" s="8">
        <f>SUMPRODUCT(Puanlar!$C$3:$AB$3,Puanlar!C123:AB123,Guven!C123:AB123)/5</f>
        <v>16.4</v>
      </c>
      <c r="H123" s="9">
        <f>SUMPRODUCT(Puanlar!$C$3:$AB$3,Kanit!C123:AB123)/SUM(Puanlar!$C$3:$AB$3)</f>
        <v>0.17</v>
      </c>
      <c r="I123" s="8">
        <f>SUMPRODUCT(Puanlar!$AD$3:$AG$3,Puanlar!AD123:AG123)/5</f>
        <v>45</v>
      </c>
      <c r="J123" s="10">
        <f>Finans!AB123</f>
        <v>-1110</v>
      </c>
      <c r="K123" s="5">
        <f>Kanit!H123</f>
        <v>0</v>
      </c>
      <c r="L123" s="5">
        <f>IF(E123&gt;=Hedef!$C$10,1,0)</f>
        <v>1</v>
      </c>
      <c r="M123" s="5">
        <f>IF(AND(J123&gt;=Hedef!$C$5*Hedef!$C$11,Finans!AE123&lt;=Hedef!$C$14),1,0)</f>
        <v>0</v>
      </c>
      <c r="N123" s="7" t="str">
        <f>IF(D123="kaldi","Kapıda kaldı",IF(AND(D123="gecti",L123=1,K123&gt;=Hedef!$C$13,J123&gt;=Hedef!$C$5),"Yatırım yap",IF(AND(L123=1,M123=1),"Önce test et",IF(OR(L123=1,M123=1),"Değiştir",IF(I123&gt;=Hedef!$C$12,"Beklet","Bırak")))))</f>
        <v>Değiştir</v>
      </c>
      <c r="O123" s="5">
        <f>IF(N123="Yatırım yap",0,IF(N123="Önce test et",1,IF(N123="Değiştir",2,IF(N123="Beklet",3,IF(N123="Bırak",4,9)))))</f>
        <v>2</v>
      </c>
      <c r="P123" s="22">
        <f>IF(D123="kaldi","",O123*1000-G123+123/1000000000)</f>
        <v>1983.600000123</v>
      </c>
      <c r="Q123" s="5">
        <f>IF(D123="kaldi","",1+COUNTIF($P$5:$P$136,"&lt;"&amp;P123))</f>
        <v>71</v>
      </c>
      <c r="R123" s="23">
        <f>IF(D123="kaldi","",E123*(1-IF(E123&gt;0,G123/E123,0))/MAX(1,Deneyler!F123))</f>
        <v>0.8200000000000001</v>
      </c>
      <c r="S123" s="22">
        <f>IF(D123="kaldi","",-R123+123/1000000000)</f>
        <v>-0.8199998770000001</v>
      </c>
      <c r="T123" s="5">
        <f>IF(D123="kaldi","",1+COUNTIF($S$5:$S$136,"&lt;"&amp;S123))</f>
        <v>87</v>
      </c>
    </row>
    <row r="124">
      <c r="A124" s="7" t="str">
        <f>Secenekler!A124</f>
        <v>signator-b</v>
      </c>
      <c r="B124" s="7" t="str">
        <f>Secenekler!C124</f>
        <v>KOBİ ekip paketi: self-servis, aramadan gelen satış</v>
      </c>
      <c r="C124" s="7" t="str">
        <f>Secenekler!B124</f>
        <v>signator (e-posta imzası üreticisi)</v>
      </c>
      <c r="D124" s="7" t="str">
        <f>Kapilar!K124</f>
        <v>test</v>
      </c>
      <c r="E124" s="8">
        <f>SUMPRODUCT(Puanlar!$C$3:$AB$3,Puanlar!C124:AB124)/5</f>
        <v>55.2</v>
      </c>
      <c r="F124" s="8">
        <f>SUMIF(Puanlar!C124:AB124,"&gt;=0",Puanlar!$C$3:$AB$3)</f>
        <v>100</v>
      </c>
      <c r="G124" s="8">
        <f>SUMPRODUCT(Puanlar!$C$3:$AB$3,Puanlar!C124:AB124,Guven!C124:AB124)/5</f>
        <v>19.56</v>
      </c>
      <c r="H124" s="9">
        <f>SUMPRODUCT(Puanlar!$C$3:$AB$3,Kanit!C124:AB124)/SUM(Puanlar!$C$3:$AB$3)</f>
        <v>0.31</v>
      </c>
      <c r="I124" s="8">
        <f>SUMPRODUCT(Puanlar!$AD$3:$AG$3,Puanlar!AD124:AG124)/5</f>
        <v>45</v>
      </c>
      <c r="J124" s="10">
        <f>Finans!AB124</f>
        <v>-2510</v>
      </c>
      <c r="K124" s="5">
        <f>Kanit!H124</f>
        <v>1</v>
      </c>
      <c r="L124" s="5">
        <f>IF(E124&gt;=Hedef!$C$10,1,0)</f>
        <v>1</v>
      </c>
      <c r="M124" s="5">
        <f>IF(AND(J124&gt;=Hedef!$C$5*Hedef!$C$11,Finans!AE124&lt;=Hedef!$C$14),1,0)</f>
        <v>0</v>
      </c>
      <c r="N124" s="7" t="str">
        <f>IF(D124="kaldi","Kapıda kaldı",IF(AND(D124="gecti",L124=1,K124&gt;=Hedef!$C$13,J124&gt;=Hedef!$C$5),"Yatırım yap",IF(AND(L124=1,M124=1),"Önce test et",IF(OR(L124=1,M124=1),"Değiştir",IF(I124&gt;=Hedef!$C$12,"Beklet","Bırak")))))</f>
        <v>Değiştir</v>
      </c>
      <c r="O124" s="5">
        <f>IF(N124="Yatırım yap",0,IF(N124="Önce test et",1,IF(N124="Değiştir",2,IF(N124="Beklet",3,IF(N124="Bırak",4,9)))))</f>
        <v>2</v>
      </c>
      <c r="P124" s="22">
        <f>IF(D124="kaldi","",O124*1000-G124+124/1000000000)</f>
        <v>1980.440000124</v>
      </c>
      <c r="Q124" s="5">
        <f>IF(D124="kaldi","",1+COUNTIF($P$5:$P$136,"&lt;"&amp;P124))</f>
        <v>35</v>
      </c>
      <c r="R124" s="23">
        <f>IF(D124="kaldi","",E124*(1-IF(E124&gt;0,G124/E124,0))/MAX(1,Deneyler!F124))</f>
        <v>0.7128000000000001</v>
      </c>
      <c r="S124" s="22">
        <f>IF(D124="kaldi","",-R124+124/1000000000)</f>
        <v>-0.712799876</v>
      </c>
      <c r="T124" s="5">
        <f>IF(D124="kaldi","",1+COUNTIF($S$5:$S$136,"&lt;"&amp;S124))</f>
        <v>97</v>
      </c>
    </row>
    <row r="125">
      <c r="A125" s="7" t="str">
        <f>Secenekler!A125</f>
        <v>signator-c</v>
      </c>
      <c r="B125" s="7" t="str">
        <f>Secenekler!C125</f>
        <v>Sabit fiyatlı ekip imzası kurulum paketi</v>
      </c>
      <c r="C125" s="7" t="str">
        <f>Secenekler!B125</f>
        <v>signator (e-posta imzası üreticisi)</v>
      </c>
      <c r="D125" s="7" t="str">
        <f>Kapilar!K125</f>
        <v>test</v>
      </c>
      <c r="E125" s="8">
        <f>SUMPRODUCT(Puanlar!$C$3:$AB$3,Puanlar!C125:AB125)/5</f>
        <v>55</v>
      </c>
      <c r="F125" s="8">
        <f>SUMIF(Puanlar!C125:AB125,"&gt;=0",Puanlar!$C$3:$AB$3)</f>
        <v>100</v>
      </c>
      <c r="G125" s="8">
        <f>SUMPRODUCT(Puanlar!$C$3:$AB$3,Puanlar!C125:AB125,Guven!C125:AB125)/5</f>
        <v>17.78</v>
      </c>
      <c r="H125" s="9">
        <f>SUMPRODUCT(Puanlar!$C$3:$AB$3,Kanit!C125:AB125)/SUM(Puanlar!$C$3:$AB$3)</f>
        <v>0.12</v>
      </c>
      <c r="I125" s="8">
        <f>SUMPRODUCT(Puanlar!$AD$3:$AG$3,Puanlar!AD125:AG125)/5</f>
        <v>35</v>
      </c>
      <c r="J125" s="10">
        <f>Finans!AB125</f>
        <v>2300</v>
      </c>
      <c r="K125" s="5">
        <f>Kanit!H125</f>
        <v>0</v>
      </c>
      <c r="L125" s="5">
        <f>IF(E125&gt;=Hedef!$C$10,1,0)</f>
        <v>1</v>
      </c>
      <c r="M125" s="5">
        <f>IF(AND(J125&gt;=Hedef!$C$5*Hedef!$C$11,Finans!AE125&lt;=Hedef!$C$14),1,0)</f>
        <v>0</v>
      </c>
      <c r="N125" s="7" t="str">
        <f>IF(D125="kaldi","Kapıda kaldı",IF(AND(D125="gecti",L125=1,K125&gt;=Hedef!$C$13,J125&gt;=Hedef!$C$5),"Yatırım yap",IF(AND(L125=1,M125=1),"Önce test et",IF(OR(L125=1,M125=1),"Değiştir",IF(I125&gt;=Hedef!$C$12,"Beklet","Bırak")))))</f>
        <v>Değiştir</v>
      </c>
      <c r="O125" s="5">
        <f>IF(N125="Yatırım yap",0,IF(N125="Önce test et",1,IF(N125="Değiştir",2,IF(N125="Beklet",3,IF(N125="Bırak",4,9)))))</f>
        <v>2</v>
      </c>
      <c r="P125" s="22">
        <f>IF(D125="kaldi","",O125*1000-G125+125/1000000000)</f>
        <v>1982.220000125</v>
      </c>
      <c r="Q125" s="5">
        <f>IF(D125="kaldi","",1+COUNTIF($P$5:$P$136,"&lt;"&amp;P125))</f>
        <v>55</v>
      </c>
      <c r="R125" s="23">
        <f>IF(D125="kaldi","",E125*(1-IF(E125&gt;0,G125/E125,0))/MAX(1,Deneyler!F125))</f>
        <v>2.658571428571428</v>
      </c>
      <c r="S125" s="22">
        <f>IF(D125="kaldi","",-R125+125/1000000000)</f>
        <v>-2.658571303571428</v>
      </c>
      <c r="T125" s="5">
        <f>IF(D125="kaldi","",1+COUNTIF($S$5:$S$136,"&lt;"&amp;S125))</f>
        <v>11</v>
      </c>
    </row>
    <row r="126">
      <c r="A126" s="7" t="str">
        <f>Secenekler!A126</f>
        <v>volley-tap-a</v>
      </c>
      <c r="B126" s="7" t="str">
        <f>Secenekler!C126</f>
        <v>Kulüp ve markalara sabit paketli kampanya oyunu</v>
      </c>
      <c r="C126" s="7" t="str">
        <f>Secenekler!B126</f>
        <v>Volley Tap (HTML5 arcade oyunu)</v>
      </c>
      <c r="D126" s="7" t="str">
        <f>Kapilar!K126</f>
        <v>test</v>
      </c>
      <c r="E126" s="8">
        <f>SUMPRODUCT(Puanlar!$C$3:$AB$3,Puanlar!C126:AB126)/5</f>
        <v>46.2</v>
      </c>
      <c r="F126" s="8">
        <f>SUMIF(Puanlar!C126:AB126,"&gt;=0",Puanlar!$C$3:$AB$3)</f>
        <v>100</v>
      </c>
      <c r="G126" s="8">
        <f>SUMPRODUCT(Puanlar!$C$3:$AB$3,Puanlar!C126:AB126,Guven!C126:AB126)/5</f>
        <v>14.86</v>
      </c>
      <c r="H126" s="9">
        <f>SUMPRODUCT(Puanlar!$C$3:$AB$3,Kanit!C126:AB126)/SUM(Puanlar!$C$3:$AB$3)</f>
        <v>0.1</v>
      </c>
      <c r="I126" s="8">
        <f>SUMPRODUCT(Puanlar!$AD$3:$AG$3,Puanlar!AD126:AG126)/5</f>
        <v>35</v>
      </c>
      <c r="J126" s="10">
        <f>Finans!AB126</f>
        <v>-7500</v>
      </c>
      <c r="K126" s="5">
        <f>Kanit!H126</f>
        <v>0</v>
      </c>
      <c r="L126" s="5">
        <f>IF(E126&gt;=Hedef!$C$10,1,0)</f>
        <v>1</v>
      </c>
      <c r="M126" s="5">
        <f>IF(AND(J126&gt;=Hedef!$C$5*Hedef!$C$11,Finans!AE126&lt;=Hedef!$C$14),1,0)</f>
        <v>0</v>
      </c>
      <c r="N126" s="7" t="str">
        <f>IF(D126="kaldi","Kapıda kaldı",IF(AND(D126="gecti",L126=1,K126&gt;=Hedef!$C$13,J126&gt;=Hedef!$C$5),"Yatırım yap",IF(AND(L126=1,M126=1),"Önce test et",IF(OR(L126=1,M126=1),"Değiştir",IF(I126&gt;=Hedef!$C$12,"Beklet","Bırak")))))</f>
        <v>Değiştir</v>
      </c>
      <c r="O126" s="5">
        <f>IF(N126="Yatırım yap",0,IF(N126="Önce test et",1,IF(N126="Değiştir",2,IF(N126="Beklet",3,IF(N126="Bırak",4,9)))))</f>
        <v>2</v>
      </c>
      <c r="P126" s="22">
        <f>IF(D126="kaldi","",O126*1000-G126+126/1000000000)</f>
        <v>1985.140000126</v>
      </c>
      <c r="Q126" s="5">
        <f>IF(D126="kaldi","",1+COUNTIF($P$5:$P$136,"&lt;"&amp;P126))</f>
        <v>86</v>
      </c>
      <c r="R126" s="23">
        <f>IF(D126="kaldi","",E126*(1-IF(E126&gt;0,G126/E126,0))/MAX(1,Deneyler!F126))</f>
        <v>0.4477142857142858</v>
      </c>
      <c r="S126" s="22">
        <f>IF(D126="kaldi","",-R126+126/1000000000)</f>
        <v>-0.4477141597142858</v>
      </c>
      <c r="T126" s="5">
        <f>IF(D126="kaldi","",1+COUNTIF($S$5:$S$136,"&lt;"&amp;S126))</f>
        <v>103</v>
      </c>
    </row>
    <row r="127">
      <c r="A127" s="7" t="str">
        <f>Secenekler!A127</f>
        <v>volley-tap-b</v>
      </c>
      <c r="B127" s="7" t="str">
        <f>Secenekler!C127</f>
        <v>CrazyGames ve Yandex Games portal reklam geliri</v>
      </c>
      <c r="C127" s="7" t="str">
        <f>Secenekler!B127</f>
        <v>Volley Tap (HTML5 arcade oyunu)</v>
      </c>
      <c r="D127" s="7" t="str">
        <f>Kapilar!K127</f>
        <v>test</v>
      </c>
      <c r="E127" s="8">
        <f>SUMPRODUCT(Puanlar!$C$3:$AB$3,Puanlar!C127:AB127)/5</f>
        <v>46.4</v>
      </c>
      <c r="F127" s="8">
        <f>SUMIF(Puanlar!C127:AB127,"&gt;=0",Puanlar!$C$3:$AB$3)</f>
        <v>100</v>
      </c>
      <c r="G127" s="8">
        <f>SUMPRODUCT(Puanlar!$C$3:$AB$3,Puanlar!C127:AB127,Guven!C127:AB127)/5</f>
        <v>19.4</v>
      </c>
      <c r="H127" s="9">
        <f>SUMPRODUCT(Puanlar!$C$3:$AB$3,Kanit!C127:AB127)/SUM(Puanlar!$C$3:$AB$3)</f>
        <v>0.53</v>
      </c>
      <c r="I127" s="8">
        <f>SUMPRODUCT(Puanlar!$AD$3:$AG$3,Puanlar!AD127:AG127)/5</f>
        <v>55</v>
      </c>
      <c r="J127" s="10">
        <f>Finans!AB127</f>
        <v>-4600</v>
      </c>
      <c r="K127" s="5">
        <f>Kanit!H127</f>
        <v>1</v>
      </c>
      <c r="L127" s="5">
        <f>IF(E127&gt;=Hedef!$C$10,1,0)</f>
        <v>1</v>
      </c>
      <c r="M127" s="5">
        <f>IF(AND(J127&gt;=Hedef!$C$5*Hedef!$C$11,Finans!AE127&lt;=Hedef!$C$14),1,0)</f>
        <v>0</v>
      </c>
      <c r="N127" s="7" t="str">
        <f>IF(D127="kaldi","Kapıda kaldı",IF(AND(D127="gecti",L127=1,K127&gt;=Hedef!$C$13,J127&gt;=Hedef!$C$5),"Yatırım yap",IF(AND(L127=1,M127=1),"Önce test et",IF(OR(L127=1,M127=1),"Değiştir",IF(I127&gt;=Hedef!$C$12,"Beklet","Bırak")))))</f>
        <v>Değiştir</v>
      </c>
      <c r="O127" s="5">
        <f>IF(N127="Yatırım yap",0,IF(N127="Önce test et",1,IF(N127="Değiştir",2,IF(N127="Beklet",3,IF(N127="Bırak",4,9)))))</f>
        <v>2</v>
      </c>
      <c r="P127" s="22">
        <f>IF(D127="kaldi","",O127*1000-G127+127/1000000000)</f>
        <v>1980.600000127</v>
      </c>
      <c r="Q127" s="5">
        <f>IF(D127="kaldi","",1+COUNTIF($P$5:$P$136,"&lt;"&amp;P127))</f>
        <v>38</v>
      </c>
      <c r="R127" s="23">
        <f>IF(D127="kaldi","",E127*(1-IF(E127&gt;0,G127/E127,0))/MAX(1,Deneyler!F127))</f>
        <v>0.2454545454545454</v>
      </c>
      <c r="S127" s="22">
        <f>IF(D127="kaldi","",-R127+127/1000000000)</f>
        <v>-0.2454544184545454</v>
      </c>
      <c r="T127" s="5">
        <f>IF(D127="kaldi","",1+COUNTIF($S$5:$S$136,"&lt;"&amp;S127))</f>
        <v>108</v>
      </c>
    </row>
    <row r="128">
      <c r="A128" s="7" t="str">
        <f>Secenekler!A128</f>
        <v>volley-tap-c</v>
      </c>
      <c r="B128" s="7" t="str">
        <f>Secenekler!C128</f>
        <v>itch.io tarayıcı demo ve ücretli premium paket</v>
      </c>
      <c r="C128" s="7" t="str">
        <f>Secenekler!B128</f>
        <v>Volley Tap (HTML5 arcade oyunu)</v>
      </c>
      <c r="D128" s="7" t="str">
        <f>Kapilar!K128</f>
        <v>test</v>
      </c>
      <c r="E128" s="8">
        <f>SUMPRODUCT(Puanlar!$C$3:$AB$3,Puanlar!C128:AB128)/5</f>
        <v>49.2</v>
      </c>
      <c r="F128" s="8">
        <f>SUMIF(Puanlar!C128:AB128,"&gt;=0",Puanlar!$C$3:$AB$3)</f>
        <v>100</v>
      </c>
      <c r="G128" s="8">
        <f>SUMPRODUCT(Puanlar!$C$3:$AB$3,Puanlar!C128:AB128,Guven!C128:AB128)/5</f>
        <v>16.16</v>
      </c>
      <c r="H128" s="9">
        <f>SUMPRODUCT(Puanlar!$C$3:$AB$3,Kanit!C128:AB128)/SUM(Puanlar!$C$3:$AB$3)</f>
        <v>0.08</v>
      </c>
      <c r="I128" s="8">
        <f>SUMPRODUCT(Puanlar!$AD$3:$AG$3,Puanlar!AD128:AG128)/5</f>
        <v>40</v>
      </c>
      <c r="J128" s="10">
        <f>Finans!AB128</f>
        <v>-190</v>
      </c>
      <c r="K128" s="5">
        <f>Kanit!H128</f>
        <v>0</v>
      </c>
      <c r="L128" s="5">
        <f>IF(E128&gt;=Hedef!$C$10,1,0)</f>
        <v>1</v>
      </c>
      <c r="M128" s="5">
        <f>IF(AND(J128&gt;=Hedef!$C$5*Hedef!$C$11,Finans!AE128&lt;=Hedef!$C$14),1,0)</f>
        <v>0</v>
      </c>
      <c r="N128" s="7" t="str">
        <f>IF(D128="kaldi","Kapıda kaldı",IF(AND(D128="gecti",L128=1,K128&gt;=Hedef!$C$13,J128&gt;=Hedef!$C$5),"Yatırım yap",IF(AND(L128=1,M128=1),"Önce test et",IF(OR(L128=1,M128=1),"Değiştir",IF(I128&gt;=Hedef!$C$12,"Beklet","Bırak")))))</f>
        <v>Değiştir</v>
      </c>
      <c r="O128" s="5">
        <f>IF(N128="Yatırım yap",0,IF(N128="Önce test et",1,IF(N128="Değiştir",2,IF(N128="Beklet",3,IF(N128="Bırak",4,9)))))</f>
        <v>2</v>
      </c>
      <c r="P128" s="22">
        <f>IF(D128="kaldi","",O128*1000-G128+128/1000000000)</f>
        <v>1983.840000128</v>
      </c>
      <c r="Q128" s="5">
        <f>IF(D128="kaldi","",1+COUNTIF($P$5:$P$136,"&lt;"&amp;P128))</f>
        <v>78</v>
      </c>
      <c r="R128" s="23">
        <f>IF(D128="kaldi","",E128*(1-IF(E128&gt;0,G128/E128,0))/MAX(1,Deneyler!F128))</f>
        <v>1.0325</v>
      </c>
      <c r="S128" s="22">
        <f>IF(D128="kaldi","",-R128+128/1000000000)</f>
        <v>-1.032499872</v>
      </c>
      <c r="T128" s="5">
        <f>IF(D128="kaldi","",1+COUNTIF($S$5:$S$136,"&lt;"&amp;S128))</f>
        <v>67</v>
      </c>
    </row>
    <row r="129">
      <c r="A129" s="7" t="str">
        <f>Secenekler!A129</f>
        <v>woocommnts-a</v>
      </c>
      <c r="B129" s="7" t="str">
        <f>Secenekler!C129</f>
        <v>Taksit ve kapıda ödeme eklentisi: ücretsiz çekirdek + Pro</v>
      </c>
      <c r="C129" s="7" t="str">
        <f>Secenekler!B129</f>
        <v>WooCommerce yorum ve taksit eklentisi (WooCommnts)</v>
      </c>
      <c r="D129" s="7" t="str">
        <f>Kapilar!K129</f>
        <v>test</v>
      </c>
      <c r="E129" s="8">
        <f>SUMPRODUCT(Puanlar!$C$3:$AB$3,Puanlar!C129:AB129)/5</f>
        <v>58.6</v>
      </c>
      <c r="F129" s="8">
        <f>SUMIF(Puanlar!C129:AB129,"&gt;=0",Puanlar!$C$3:$AB$3)</f>
        <v>100</v>
      </c>
      <c r="G129" s="8">
        <f>SUMPRODUCT(Puanlar!$C$3:$AB$3,Puanlar!C129:AB129,Guven!C129:AB129)/5</f>
        <v>20.26</v>
      </c>
      <c r="H129" s="9">
        <f>SUMPRODUCT(Puanlar!$C$3:$AB$3,Kanit!C129:AB129)/SUM(Puanlar!$C$3:$AB$3)</f>
        <v>0.2</v>
      </c>
      <c r="I129" s="8">
        <f>SUMPRODUCT(Puanlar!$AD$3:$AG$3,Puanlar!AD129:AG129)/5</f>
        <v>60</v>
      </c>
      <c r="J129" s="10">
        <f>Finans!AB129</f>
        <v>19990</v>
      </c>
      <c r="K129" s="5">
        <f>Kanit!H129</f>
        <v>0</v>
      </c>
      <c r="L129" s="5">
        <f>IF(E129&gt;=Hedef!$C$10,1,0)</f>
        <v>1</v>
      </c>
      <c r="M129" s="5">
        <f>IF(AND(J129&gt;=Hedef!$C$5*Hedef!$C$11,Finans!AE129&lt;=Hedef!$C$14),1,0)</f>
        <v>0</v>
      </c>
      <c r="N129" s="7" t="str">
        <f>IF(D129="kaldi","Kapıda kaldı",IF(AND(D129="gecti",L129=1,K129&gt;=Hedef!$C$13,J129&gt;=Hedef!$C$5),"Yatırım yap",IF(AND(L129=1,M129=1),"Önce test et",IF(OR(L129=1,M129=1),"Değiştir",IF(I129&gt;=Hedef!$C$12,"Beklet","Bırak")))))</f>
        <v>Değiştir</v>
      </c>
      <c r="O129" s="5">
        <f>IF(N129="Yatırım yap",0,IF(N129="Önce test et",1,IF(N129="Değiştir",2,IF(N129="Beklet",3,IF(N129="Bırak",4,9)))))</f>
        <v>2</v>
      </c>
      <c r="P129" s="22">
        <f>IF(D129="kaldi","",O129*1000-G129+129/1000000000)</f>
        <v>1979.740000129</v>
      </c>
      <c r="Q129" s="5">
        <f>IF(D129="kaldi","",1+COUNTIF($P$5:$P$136,"&lt;"&amp;P129))</f>
        <v>23</v>
      </c>
      <c r="R129" s="23">
        <f>IF(D129="kaldi","",E129*(1-IF(E129&gt;0,G129/E129,0))/MAX(1,Deneyler!F129))</f>
        <v>2.556</v>
      </c>
      <c r="S129" s="22">
        <f>IF(D129="kaldi","",-R129+129/1000000000)</f>
        <v>-2.555999871</v>
      </c>
      <c r="T129" s="5">
        <f>IF(D129="kaldi","",1+COUNTIF($S$5:$S$136,"&lt;"&amp;S129))</f>
        <v>13</v>
      </c>
    </row>
    <row r="130">
      <c r="A130" s="7" t="str">
        <f>Secenekler!A130</f>
        <v>woocommnts-b</v>
      </c>
      <c r="B130" s="7" t="str">
        <f>Secenekler!C130</f>
        <v>Ajans paketi: 10 site lisanslı taksit ve kapıda ödeme eklentisi</v>
      </c>
      <c r="C130" s="7" t="str">
        <f>Secenekler!B130</f>
        <v>WooCommerce yorum ve taksit eklentisi (WooCommnts)</v>
      </c>
      <c r="D130" s="7" t="str">
        <f>Kapilar!K130</f>
        <v>test</v>
      </c>
      <c r="E130" s="8">
        <f>SUMPRODUCT(Puanlar!$C$3:$AB$3,Puanlar!C130:AB130)/5</f>
        <v>50.8</v>
      </c>
      <c r="F130" s="8">
        <f>SUMIF(Puanlar!C130:AB130,"&gt;=0",Puanlar!$C$3:$AB$3)</f>
        <v>100</v>
      </c>
      <c r="G130" s="8">
        <f>SUMPRODUCT(Puanlar!$C$3:$AB$3,Puanlar!C130:AB130,Guven!C130:AB130)/5</f>
        <v>17.12</v>
      </c>
      <c r="H130" s="9">
        <f>SUMPRODUCT(Puanlar!$C$3:$AB$3,Kanit!C130:AB130)/SUM(Puanlar!$C$3:$AB$3)</f>
        <v>0.17</v>
      </c>
      <c r="I130" s="8">
        <f>SUMPRODUCT(Puanlar!$AD$3:$AG$3,Puanlar!AD130:AG130)/5</f>
        <v>50</v>
      </c>
      <c r="J130" s="10">
        <f>Finans!AB130</f>
        <v>-230</v>
      </c>
      <c r="K130" s="5">
        <f>Kanit!H130</f>
        <v>0</v>
      </c>
      <c r="L130" s="5">
        <f>IF(E130&gt;=Hedef!$C$10,1,0)</f>
        <v>1</v>
      </c>
      <c r="M130" s="5">
        <f>IF(AND(J130&gt;=Hedef!$C$5*Hedef!$C$11,Finans!AE130&lt;=Hedef!$C$14),1,0)</f>
        <v>0</v>
      </c>
      <c r="N130" s="7" t="str">
        <f>IF(D130="kaldi","Kapıda kaldı",IF(AND(D130="gecti",L130=1,K130&gt;=Hedef!$C$13,J130&gt;=Hedef!$C$5),"Yatırım yap",IF(AND(L130=1,M130=1),"Önce test et",IF(OR(L130=1,M130=1),"Değiştir",IF(I130&gt;=Hedef!$C$12,"Beklet","Bırak")))))</f>
        <v>Değiştir</v>
      </c>
      <c r="O130" s="5">
        <f>IF(N130="Yatırım yap",0,IF(N130="Önce test et",1,IF(N130="Değiştir",2,IF(N130="Beklet",3,IF(N130="Bırak",4,9)))))</f>
        <v>2</v>
      </c>
      <c r="P130" s="22">
        <f>IF(D130="kaldi","",O130*1000-G130+130/1000000000)</f>
        <v>1982.88000013</v>
      </c>
      <c r="Q130" s="5">
        <f>IF(D130="kaldi","",1+COUNTIF($P$5:$P$136,"&lt;"&amp;P130))</f>
        <v>62</v>
      </c>
      <c r="R130" s="23">
        <f>IF(D130="kaldi","",E130*(1-IF(E130&gt;0,G130/E130,0))/MAX(1,Deneyler!F130))</f>
        <v>1.684</v>
      </c>
      <c r="S130" s="22">
        <f>IF(D130="kaldi","",-R130+130/1000000000)</f>
        <v>-1.68399987</v>
      </c>
      <c r="T130" s="5">
        <f>IF(D130="kaldi","",1+COUNTIF($S$5:$S$136,"&lt;"&amp;S130))</f>
        <v>32</v>
      </c>
    </row>
    <row r="131">
      <c r="A131" s="7" t="str">
        <f>Secenekler!A131</f>
        <v>woocommnts-c</v>
      </c>
      <c r="B131" s="7" t="str">
        <f>Secenekler!C131</f>
        <v>Yorum göç hizmeti: izinli yorumları doğru ürüne eşleme</v>
      </c>
      <c r="C131" s="7" t="str">
        <f>Secenekler!B131</f>
        <v>WooCommerce yorum ve taksit eklentisi (WooCommnts)</v>
      </c>
      <c r="D131" s="7" t="str">
        <f>Kapilar!K131</f>
        <v>test</v>
      </c>
      <c r="E131" s="8">
        <f>SUMPRODUCT(Puanlar!$C$3:$AB$3,Puanlar!C131:AB131)/5</f>
        <v>40.4</v>
      </c>
      <c r="F131" s="8">
        <f>SUMIF(Puanlar!C131:AB131,"&gt;=0",Puanlar!$C$3:$AB$3)</f>
        <v>100</v>
      </c>
      <c r="G131" s="8">
        <f>SUMPRODUCT(Puanlar!$C$3:$AB$3,Puanlar!C131:AB131,Guven!C131:AB131)/5</f>
        <v>13.2</v>
      </c>
      <c r="H131" s="9">
        <f>SUMPRODUCT(Puanlar!$C$3:$AB$3,Kanit!C131:AB131)/SUM(Puanlar!$C$3:$AB$3)</f>
        <v>0.12</v>
      </c>
      <c r="I131" s="8">
        <f>SUMPRODUCT(Puanlar!$AD$3:$AG$3,Puanlar!AD131:AG131)/5</f>
        <v>25</v>
      </c>
      <c r="J131" s="10">
        <f>Finans!AB131</f>
        <v>4800</v>
      </c>
      <c r="K131" s="5">
        <f>Kanit!H131</f>
        <v>0</v>
      </c>
      <c r="L131" s="5">
        <f>IF(E131&gt;=Hedef!$C$10,1,0)</f>
        <v>0</v>
      </c>
      <c r="M131" s="5">
        <f>IF(AND(J131&gt;=Hedef!$C$5*Hedef!$C$11,Finans!AE131&lt;=Hedef!$C$14),1,0)</f>
        <v>0</v>
      </c>
      <c r="N131" s="7" t="str">
        <f>IF(D131="kaldi","Kapıda kaldı",IF(AND(D131="gecti",L131=1,K131&gt;=Hedef!$C$13,J131&gt;=Hedef!$C$5),"Yatırım yap",IF(AND(L131=1,M131=1),"Önce test et",IF(OR(L131=1,M131=1),"Değiştir",IF(I131&gt;=Hedef!$C$12,"Beklet","Bırak")))))</f>
        <v>Bırak</v>
      </c>
      <c r="O131" s="5">
        <f>IF(N131="Yatırım yap",0,IF(N131="Önce test et",1,IF(N131="Değiştir",2,IF(N131="Beklet",3,IF(N131="Bırak",4,9)))))</f>
        <v>4</v>
      </c>
      <c r="P131" s="22">
        <f>IF(D131="kaldi","",O131*1000-G131+131/1000000000)</f>
        <v>3986.800000131</v>
      </c>
      <c r="Q131" s="5">
        <f>IF(D131="kaldi","",1+COUNTIF($P$5:$P$136,"&lt;"&amp;P131))</f>
        <v>107</v>
      </c>
      <c r="R131" s="23">
        <f>IF(D131="kaldi","",E131*(1-IF(E131&gt;0,G131/E131,0))/MAX(1,Deneyler!F131))</f>
        <v>1.133333333333333</v>
      </c>
      <c r="S131" s="22">
        <f>IF(D131="kaldi","",-R131+131/1000000000)</f>
        <v>-1.133333202333333</v>
      </c>
      <c r="T131" s="5">
        <f>IF(D131="kaldi","",1+COUNTIF($S$5:$S$136,"&lt;"&amp;S131))</f>
        <v>60</v>
      </c>
    </row>
    <row r="132">
      <c r="A132" s="7" t="str">
        <f>Secenekler!A132</f>
        <v>egitim-demolari-a</v>
      </c>
      <c r="B132" s="7" t="str">
        <f>Secenekler!C132</f>
        <v>Tek kazanımlı ders paketi (rehber ve cevap anahtarı)</v>
      </c>
      <c r="C132" s="7" t="str">
        <f>Secenekler!B132</f>
        <v>Etkileşimli eğitim içeriği demoları</v>
      </c>
      <c r="D132" s="7" t="str">
        <f>Kapilar!K132</f>
        <v>test</v>
      </c>
      <c r="E132" s="8">
        <f>SUMPRODUCT(Puanlar!$C$3:$AB$3,Puanlar!C132:AB132)/5</f>
        <v>51</v>
      </c>
      <c r="F132" s="8">
        <f>SUMIF(Puanlar!C132:AB132,"&gt;=0",Puanlar!$C$3:$AB$3)</f>
        <v>100</v>
      </c>
      <c r="G132" s="8">
        <f>SUMPRODUCT(Puanlar!$C$3:$AB$3,Puanlar!C132:AB132,Guven!C132:AB132)/5</f>
        <v>15.3</v>
      </c>
      <c r="H132" s="9">
        <f>SUMPRODUCT(Puanlar!$C$3:$AB$3,Kanit!C132:AB132)/SUM(Puanlar!$C$3:$AB$3)</f>
        <v>0</v>
      </c>
      <c r="I132" s="8">
        <f>SUMPRODUCT(Puanlar!$AD$3:$AG$3,Puanlar!AD132:AG132)/5</f>
        <v>45</v>
      </c>
      <c r="J132" s="10">
        <f>Finans!AB132</f>
        <v>-2190</v>
      </c>
      <c r="K132" s="5">
        <f>Kanit!H132</f>
        <v>0</v>
      </c>
      <c r="L132" s="5">
        <f>IF(E132&gt;=Hedef!$C$10,1,0)</f>
        <v>1</v>
      </c>
      <c r="M132" s="5">
        <f>IF(AND(J132&gt;=Hedef!$C$5*Hedef!$C$11,Finans!AE132&lt;=Hedef!$C$14),1,0)</f>
        <v>0</v>
      </c>
      <c r="N132" s="7" t="str">
        <f>IF(D132="kaldi","Kapıda kaldı",IF(AND(D132="gecti",L132=1,K132&gt;=Hedef!$C$13,J132&gt;=Hedef!$C$5),"Yatırım yap",IF(AND(L132=1,M132=1),"Önce test et",IF(OR(L132=1,M132=1),"Değiştir",IF(I132&gt;=Hedef!$C$12,"Beklet","Bırak")))))</f>
        <v>Değiştir</v>
      </c>
      <c r="O132" s="5">
        <f>IF(N132="Yatırım yap",0,IF(N132="Önce test et",1,IF(N132="Değiştir",2,IF(N132="Beklet",3,IF(N132="Bırak",4,9)))))</f>
        <v>2</v>
      </c>
      <c r="P132" s="22">
        <f>IF(D132="kaldi","",O132*1000-G132+132/1000000000)</f>
        <v>1984.700000132</v>
      </c>
      <c r="Q132" s="5">
        <f>IF(D132="kaldi","",1+COUNTIF($P$5:$P$136,"&lt;"&amp;P132))</f>
        <v>83</v>
      </c>
      <c r="R132" s="23">
        <f>IF(D132="kaldi","",E132*(1-IF(E132&gt;0,G132/E132,0))/MAX(1,Deneyler!F132))</f>
        <v>0.8924999999999998</v>
      </c>
      <c r="S132" s="22">
        <f>IF(D132="kaldi","",-R132+132/1000000000)</f>
        <v>-0.8924998679999998</v>
      </c>
      <c r="T132" s="5">
        <f>IF(D132="kaldi","",1+COUNTIF($S$5:$S$136,"&lt;"&amp;S132))</f>
        <v>73</v>
      </c>
    </row>
    <row r="133">
      <c r="A133" s="7" t="str">
        <f>Secenekler!A133</f>
        <v>egitim-demolari-b</v>
      </c>
      <c r="B133" s="7" t="str">
        <f>Secenekler!C133</f>
        <v>Ekip atölyesi: prensipleri kendi işine uyarlama</v>
      </c>
      <c r="C133" s="7" t="str">
        <f>Secenekler!B133</f>
        <v>Etkileşimli eğitim içeriği demoları</v>
      </c>
      <c r="D133" s="7" t="str">
        <f>Kapilar!K133</f>
        <v>test</v>
      </c>
      <c r="E133" s="8">
        <f>SUMPRODUCT(Puanlar!$C$3:$AB$3,Puanlar!C133:AB133)/5</f>
        <v>47.8</v>
      </c>
      <c r="F133" s="8">
        <f>SUMIF(Puanlar!C133:AB133,"&gt;=0",Puanlar!$C$3:$AB$3)</f>
        <v>100</v>
      </c>
      <c r="G133" s="8">
        <f>SUMPRODUCT(Puanlar!$C$3:$AB$3,Puanlar!C133:AB133,Guven!C133:AB133)/5</f>
        <v>14.34</v>
      </c>
      <c r="H133" s="9">
        <f>SUMPRODUCT(Puanlar!$C$3:$AB$3,Kanit!C133:AB133)/SUM(Puanlar!$C$3:$AB$3)</f>
        <v>0</v>
      </c>
      <c r="I133" s="8">
        <f>SUMPRODUCT(Puanlar!$AD$3:$AG$3,Puanlar!AD133:AG133)/5</f>
        <v>25</v>
      </c>
      <c r="J133" s="10">
        <f>Finans!AB133</f>
        <v>5000</v>
      </c>
      <c r="K133" s="5">
        <f>Kanit!H133</f>
        <v>0</v>
      </c>
      <c r="L133" s="5">
        <f>IF(E133&gt;=Hedef!$C$10,1,0)</f>
        <v>1</v>
      </c>
      <c r="M133" s="5">
        <f>IF(AND(J133&gt;=Hedef!$C$5*Hedef!$C$11,Finans!AE133&lt;=Hedef!$C$14),1,0)</f>
        <v>0</v>
      </c>
      <c r="N133" s="7" t="str">
        <f>IF(D133="kaldi","Kapıda kaldı",IF(AND(D133="gecti",L133=1,K133&gt;=Hedef!$C$13,J133&gt;=Hedef!$C$5),"Yatırım yap",IF(AND(L133=1,M133=1),"Önce test et",IF(OR(L133=1,M133=1),"Değiştir",IF(I133&gt;=Hedef!$C$12,"Beklet","Bırak")))))</f>
        <v>Değiştir</v>
      </c>
      <c r="O133" s="5">
        <f>IF(N133="Yatırım yap",0,IF(N133="Önce test et",1,IF(N133="Değiştir",2,IF(N133="Beklet",3,IF(N133="Bırak",4,9)))))</f>
        <v>2</v>
      </c>
      <c r="P133" s="22">
        <f>IF(D133="kaldi","",O133*1000-G133+133/1000000000)</f>
        <v>1985.660000133</v>
      </c>
      <c r="Q133" s="5">
        <f>IF(D133="kaldi","",1+COUNTIF($P$5:$P$136,"&lt;"&amp;P133))</f>
        <v>90</v>
      </c>
      <c r="R133" s="23">
        <f>IF(D133="kaldi","",E133*(1-IF(E133&gt;0,G133/E133,0))/MAX(1,Deneyler!F133))</f>
        <v>1.3384</v>
      </c>
      <c r="S133" s="22">
        <f>IF(D133="kaldi","",-R133+133/1000000000)</f>
        <v>-1.338399867</v>
      </c>
      <c r="T133" s="5">
        <f>IF(D133="kaldi","",1+COUNTIF($S$5:$S$136,"&lt;"&amp;S133))</f>
        <v>46</v>
      </c>
    </row>
    <row r="134">
      <c r="A134" s="7" t="str">
        <f>Secenekler!A134</f>
        <v>baz-secenekler-a</v>
      </c>
      <c r="B134" s="7" t="str">
        <f>Secenekler!C134</f>
        <v>Günlük ücretli danışmanlık ya da yazılım işi (aynı saatlerde)</v>
      </c>
      <c r="C134" s="7" t="str">
        <f>Secenekler!B134</f>
        <v>Baz seçenekler: günlük danışmanlık, kod satışı, hibe başvurusu</v>
      </c>
      <c r="D134" s="7" t="str">
        <f>Kapilar!K134</f>
        <v>test</v>
      </c>
      <c r="E134" s="8">
        <f>SUMPRODUCT(Puanlar!$C$3:$AB$3,Puanlar!C134:AB134)/5</f>
        <v>56.4</v>
      </c>
      <c r="F134" s="8">
        <f>SUMIF(Puanlar!C134:AB134,"&gt;=0",Puanlar!$C$3:$AB$3)</f>
        <v>100</v>
      </c>
      <c r="G134" s="8">
        <f>SUMPRODUCT(Puanlar!$C$3:$AB$3,Puanlar!C134:AB134,Guven!C134:AB134)/5</f>
        <v>24.44</v>
      </c>
      <c r="H134" s="9">
        <f>SUMPRODUCT(Puanlar!$C$3:$AB$3,Kanit!C134:AB134)/SUM(Puanlar!$C$3:$AB$3)</f>
        <v>0.64</v>
      </c>
      <c r="I134" s="8">
        <f>SUMPRODUCT(Puanlar!$AD$3:$AG$3,Puanlar!AD134:AG134)/5</f>
        <v>45</v>
      </c>
      <c r="J134" s="10">
        <f>Finans!AB134</f>
        <v>68400</v>
      </c>
      <c r="K134" s="5">
        <f>Kanit!H134</f>
        <v>1</v>
      </c>
      <c r="L134" s="5">
        <f>IF(E134&gt;=Hedef!$C$10,1,0)</f>
        <v>1</v>
      </c>
      <c r="M134" s="5">
        <f>IF(AND(J134&gt;=Hedef!$C$5*Hedef!$C$11,Finans!AE134&lt;=Hedef!$C$14),1,0)</f>
        <v>0</v>
      </c>
      <c r="N134" s="7" t="str">
        <f>IF(D134="kaldi","Kapıda kaldı",IF(AND(D134="gecti",L134=1,K134&gt;=Hedef!$C$13,J134&gt;=Hedef!$C$5),"Yatırım yap",IF(AND(L134=1,M134=1),"Önce test et",IF(OR(L134=1,M134=1),"Değiştir",IF(I134&gt;=Hedef!$C$12,"Beklet","Bırak")))))</f>
        <v>Değiştir</v>
      </c>
      <c r="O134" s="5">
        <f>IF(N134="Yatırım yap",0,IF(N134="Önce test et",1,IF(N134="Değiştir",2,IF(N134="Beklet",3,IF(N134="Bırak",4,9)))))</f>
        <v>2</v>
      </c>
      <c r="P134" s="22">
        <f>IF(D134="kaldi","",O134*1000-G134+134/1000000000)</f>
        <v>1975.560000134</v>
      </c>
      <c r="Q134" s="5">
        <f>IF(D134="kaldi","",1+COUNTIF($P$5:$P$136,"&lt;"&amp;P134))</f>
        <v>5</v>
      </c>
      <c r="R134" s="23">
        <f>IF(D134="kaldi","",E134*(1-IF(E134&gt;0,G134/E134,0))/MAX(1,Deneyler!F134))</f>
        <v>5.326666666666666</v>
      </c>
      <c r="S134" s="22">
        <f>IF(D134="kaldi","",-R134+134/1000000000)</f>
        <v>-5.326666532666666</v>
      </c>
      <c r="T134" s="5">
        <f>IF(D134="kaldi","",1+COUNTIF($S$5:$S$136,"&lt;"&amp;S134))</f>
        <v>1</v>
      </c>
    </row>
    <row r="135">
      <c r="A135" s="7" t="str">
        <f>Secenekler!A135</f>
        <v>baz-secenekler-b</v>
      </c>
      <c r="B135" s="7" t="str">
        <f>Secenekler!C135</f>
        <v>Mevcut Django kod tabanının ajanslara kurulumlu satışı</v>
      </c>
      <c r="C135" s="7" t="str">
        <f>Secenekler!B135</f>
        <v>Baz seçenekler: günlük danışmanlık, kod satışı, hibe başvurusu</v>
      </c>
      <c r="D135" s="7" t="str">
        <f>Kapilar!K135</f>
        <v>test</v>
      </c>
      <c r="E135" s="8">
        <f>SUMPRODUCT(Puanlar!$C$3:$AB$3,Puanlar!C135:AB135)/5</f>
        <v>43</v>
      </c>
      <c r="F135" s="8">
        <f>SUMIF(Puanlar!C135:AB135,"&gt;=0",Puanlar!$C$3:$AB$3)</f>
        <v>100</v>
      </c>
      <c r="G135" s="8">
        <f>SUMPRODUCT(Puanlar!$C$3:$AB$3,Puanlar!C135:AB135,Guven!C135:AB135)/5</f>
        <v>16.06</v>
      </c>
      <c r="H135" s="9">
        <f>SUMPRODUCT(Puanlar!$C$3:$AB$3,Kanit!C135:AB135)/SUM(Puanlar!$C$3:$AB$3)</f>
        <v>0.34</v>
      </c>
      <c r="I135" s="8">
        <f>SUMPRODUCT(Puanlar!$AD$3:$AG$3,Puanlar!AD135:AG135)/5</f>
        <v>35</v>
      </c>
      <c r="J135" s="10">
        <f>Finans!AB135</f>
        <v>13500</v>
      </c>
      <c r="K135" s="5">
        <f>Kanit!H135</f>
        <v>1</v>
      </c>
      <c r="L135" s="5">
        <f>IF(E135&gt;=Hedef!$C$10,1,0)</f>
        <v>0</v>
      </c>
      <c r="M135" s="5">
        <f>IF(AND(J135&gt;=Hedef!$C$5*Hedef!$C$11,Finans!AE135&lt;=Hedef!$C$14),1,0)</f>
        <v>0</v>
      </c>
      <c r="N135" s="7" t="str">
        <f>IF(D135="kaldi","Kapıda kaldı",IF(AND(D135="gecti",L135=1,K135&gt;=Hedef!$C$13,J135&gt;=Hedef!$C$5),"Yatırım yap",IF(AND(L135=1,M135=1),"Önce test et",IF(OR(L135=1,M135=1),"Değiştir",IF(I135&gt;=Hedef!$C$12,"Beklet","Bırak")))))</f>
        <v>Bırak</v>
      </c>
      <c r="O135" s="5">
        <f>IF(N135="Yatırım yap",0,IF(N135="Önce test et",1,IF(N135="Değiştir",2,IF(N135="Beklet",3,IF(N135="Bırak",4,9)))))</f>
        <v>4</v>
      </c>
      <c r="P135" s="22">
        <f>IF(D135="kaldi","",O135*1000-G135+135/1000000000)</f>
        <v>3983.940000135</v>
      </c>
      <c r="Q135" s="5">
        <f>IF(D135="kaldi","",1+COUNTIF($P$5:$P$136,"&lt;"&amp;P135))</f>
        <v>97</v>
      </c>
      <c r="R135" s="23">
        <f>IF(D135="kaldi","",E135*(1-IF(E135&gt;0,G135/E135,0))/MAX(1,Deneyler!F135))</f>
        <v>0.6735</v>
      </c>
      <c r="S135" s="22">
        <f>IF(D135="kaldi","",-R135+135/1000000000)</f>
        <v>-0.673499865</v>
      </c>
      <c r="T135" s="5">
        <f>IF(D135="kaldi","",1+COUNTIF($S$5:$S$136,"&lt;"&amp;S135))</f>
        <v>98</v>
      </c>
    </row>
    <row r="136">
      <c r="A136" s="7" t="str">
        <f>Secenekler!A136</f>
        <v>baz-secenekler-c</v>
      </c>
      <c r="B136" s="7" t="str">
        <f>Secenekler!C136</f>
        <v>Kamu destek programı başvurusu: TÜBİTAK 1812 ön tohum yatırımı</v>
      </c>
      <c r="C136" s="7" t="str">
        <f>Secenekler!B136</f>
        <v>Baz seçenekler: günlük danışmanlık, kod satışı, hibe başvurusu</v>
      </c>
      <c r="D136" s="7" t="str">
        <f>Kapilar!K136</f>
        <v>test</v>
      </c>
      <c r="E136" s="8">
        <f>SUMPRODUCT(Puanlar!$C$3:$AB$3,Puanlar!C136:AB136)/5</f>
        <v>41.8</v>
      </c>
      <c r="F136" s="8">
        <f>SUMIF(Puanlar!C136:AB136,"&gt;=0",Puanlar!$C$3:$AB$3)</f>
        <v>100</v>
      </c>
      <c r="G136" s="8">
        <f>SUMPRODUCT(Puanlar!$C$3:$AB$3,Puanlar!C136:AB136,Guven!C136:AB136)/5</f>
        <v>17.94</v>
      </c>
      <c r="H136" s="9">
        <f>SUMPRODUCT(Puanlar!$C$3:$AB$3,Kanit!C136:AB136)/SUM(Puanlar!$C$3:$AB$3)</f>
        <v>0.67</v>
      </c>
      <c r="I136" s="8">
        <f>SUMPRODUCT(Puanlar!$AD$3:$AG$3,Puanlar!AD136:AG136)/5</f>
        <v>25</v>
      </c>
      <c r="J136" s="10">
        <f>Finans!AB136</f>
        <v>-43000</v>
      </c>
      <c r="K136" s="5">
        <f>Kanit!H136</f>
        <v>1</v>
      </c>
      <c r="L136" s="5">
        <f>IF(E136&gt;=Hedef!$C$10,1,0)</f>
        <v>0</v>
      </c>
      <c r="M136" s="5">
        <f>IF(AND(J136&gt;=Hedef!$C$5*Hedef!$C$11,Finans!AE136&lt;=Hedef!$C$14),1,0)</f>
        <v>0</v>
      </c>
      <c r="N136" s="7" t="str">
        <f>IF(D136="kaldi","Kapıda kaldı",IF(AND(D136="gecti",L136=1,K136&gt;=Hedef!$C$13,J136&gt;=Hedef!$C$5),"Yatırım yap",IF(AND(L136=1,M136=1),"Önce test et",IF(OR(L136=1,M136=1),"Değiştir",IF(I136&gt;=Hedef!$C$12,"Beklet","Bırak")))))</f>
        <v>Bırak</v>
      </c>
      <c r="O136" s="5">
        <f>IF(N136="Yatırım yap",0,IF(N136="Önce test et",1,IF(N136="Değiştir",2,IF(N136="Beklet",3,IF(N136="Bırak",4,9)))))</f>
        <v>4</v>
      </c>
      <c r="P136" s="22">
        <f>IF(D136="kaldi","",O136*1000-G136+136/1000000000)</f>
        <v>3982.060000136</v>
      </c>
      <c r="Q136" s="5">
        <f>IF(D136="kaldi","",1+COUNTIF($P$5:$P$136,"&lt;"&amp;P136))</f>
        <v>96</v>
      </c>
      <c r="R136" s="23">
        <f>IF(D136="kaldi","",E136*(1-IF(E136&gt;0,G136/E136,0))/MAX(1,Deneyler!F136))</f>
        <v>1.988333333333333</v>
      </c>
      <c r="S136" s="22">
        <f>IF(D136="kaldi","",-R136+136/1000000000)</f>
        <v>-1.988333197333333</v>
      </c>
      <c r="T136" s="5">
        <f>IF(D136="kaldi","",1+COUNTIF($S$5:$S$136,"&lt;"&amp;S136))</f>
        <v>21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AB153"/>
  <sheetViews>
    <sheetView workbookViewId="0">
      <pane xSplit="2" ySplit="21" topLeftCell="C22"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8"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8" customWidth="1" min="15" max="15"/>
    <col width="8" customWidth="1" min="16" max="16"/>
    <col width="8" customWidth="1" min="17" max="17"/>
    <col width="8" customWidth="1" min="18" max="18"/>
    <col width="8" customWidth="1" min="19" max="19"/>
    <col width="8" customWidth="1" min="20" max="20"/>
    <col width="8" customWidth="1" min="21" max="21"/>
    <col width="8" customWidth="1" min="22" max="22"/>
    <col width="8" customWidth="1" min="23" max="23"/>
    <col width="8" customWidth="1" min="24" max="24"/>
    <col width="8" customWidth="1" min="25" max="25"/>
    <col width="8" customWidth="1" min="26" max="26"/>
    <col width="8" customWidth="1" min="27" max="27"/>
    <col width="8" customWidth="1" min="28" max="28"/>
    <col width="8" customWidth="1" min="29" max="29"/>
    <col width="8" customWidth="1" min="30" max="30"/>
    <col width="8" customWidth="1" min="31" max="31"/>
    <col width="8" customWidth="1" min="32" max="32"/>
    <col width="8" customWidth="1" min="33" max="33"/>
    <col width="8" customWidth="1" min="34" max="34"/>
    <col width="8" customWidth="1" min="35" max="35"/>
    <col width="8" customWidth="1" min="36" max="36"/>
    <col width="8" customWidth="1" min="37" max="37"/>
    <col width="8" customWidth="1" min="38" max="38"/>
    <col width="8" customWidth="1" min="39" max="39"/>
    <col width="8" customWidth="1" min="40" max="40"/>
    <col width="8" customWidth="1" min="41" max="41"/>
    <col width="8" customWidth="1" min="42" max="42"/>
  </cols>
  <sheetData>
    <row r="1">
      <c r="A1" s="1" t="inlineStr">
        <is>
          <t>Ağırlık duyarlılığı</t>
        </is>
      </c>
    </row>
    <row r="2">
      <c r="A2" s="3" t="inlineStr">
        <is>
          <t>Beş ağırlık setinde uygunluk puanı ve sıra. Kategori ağırlıklarını (mavi) değiştirerek kendi setinizi deneyebilirsiniz.</t>
        </is>
      </c>
    </row>
    <row r="4">
      <c r="A4" s="4" t="inlineStr">
        <is>
          <t>Set</t>
        </is>
      </c>
      <c r="B4" s="4" t="inlineStr">
        <is>
          <t>Ad</t>
        </is>
      </c>
      <c r="C4" s="4" t="inlineStr">
        <is>
          <t>A</t>
        </is>
      </c>
      <c r="D4" s="4" t="inlineStr">
        <is>
          <t>B</t>
        </is>
      </c>
      <c r="E4" s="4" t="inlineStr">
        <is>
          <t>C</t>
        </is>
      </c>
      <c r="F4" s="4" t="inlineStr">
        <is>
          <t>D</t>
        </is>
      </c>
      <c r="G4" s="4" t="inlineStr">
        <is>
          <t>E</t>
        </is>
      </c>
      <c r="H4" s="4" t="inlineStr">
        <is>
          <t>F</t>
        </is>
      </c>
      <c r="I4" s="4" t="inlineStr">
        <is>
          <t>Toplam</t>
        </is>
      </c>
    </row>
    <row r="5">
      <c r="A5" s="14" t="inlineStr">
        <is>
          <t>temel</t>
        </is>
      </c>
      <c r="B5" s="7" t="inlineStr">
        <is>
          <t>Temel (bu çalışma)</t>
        </is>
      </c>
      <c r="C5" s="13" t="n">
        <v>25</v>
      </c>
      <c r="D5" s="13" t="n">
        <v>30</v>
      </c>
      <c r="E5" s="13" t="n">
        <v>22</v>
      </c>
      <c r="F5" s="13" t="n">
        <v>8</v>
      </c>
      <c r="G5" s="13" t="n">
        <v>7</v>
      </c>
      <c r="H5" s="13" t="n">
        <v>8</v>
      </c>
      <c r="I5" s="8">
        <f>SUM(C5:H5)</f>
        <v>100</v>
      </c>
    </row>
    <row r="6">
      <c r="A6" s="14" t="inlineStr">
        <is>
          <t>sohbet</t>
        </is>
      </c>
      <c r="B6" s="7" t="inlineStr">
        <is>
          <t>Sohbet yanıtındaki örnek dağılım</t>
        </is>
      </c>
      <c r="C6" s="13" t="n">
        <v>25</v>
      </c>
      <c r="D6" s="13" t="n">
        <v>30</v>
      </c>
      <c r="E6" s="13" t="n">
        <v>20</v>
      </c>
      <c r="F6" s="13" t="n">
        <v>10</v>
      </c>
      <c r="G6" s="13" t="n">
        <v>10</v>
      </c>
      <c r="H6" s="13" t="n">
        <v>5</v>
      </c>
      <c r="I6" s="8">
        <f>SUM(C6:H6)</f>
        <v>100</v>
      </c>
    </row>
    <row r="7">
      <c r="A7" s="14" t="inlineStr">
        <is>
          <t>chatgpt</t>
        </is>
      </c>
      <c r="B7" s="7" t="inlineStr">
        <is>
          <t>ChatGPT araştırmasındaki dağılım</t>
        </is>
      </c>
      <c r="C7" s="13" t="n">
        <v>30</v>
      </c>
      <c r="D7" s="13" t="n">
        <v>30</v>
      </c>
      <c r="E7" s="13" t="n">
        <v>20</v>
      </c>
      <c r="F7" s="13" t="n">
        <v>10</v>
      </c>
      <c r="G7" s="13" t="n">
        <v>10</v>
      </c>
      <c r="H7" s="13" t="n">
        <v>0</v>
      </c>
      <c r="I7" s="8">
        <f>SUM(C7:H7)</f>
        <v>100</v>
      </c>
    </row>
    <row r="8">
      <c r="A8" s="14" t="inlineStr">
        <is>
          <t>claude</t>
        </is>
      </c>
      <c r="B8" s="7" t="inlineStr">
        <is>
          <t>Claude araştırmasındaki ağırlık aralıklarının yaklaşık eşlemesi</t>
        </is>
      </c>
      <c r="C8" s="13" t="n">
        <v>23.4</v>
      </c>
      <c r="D8" s="13" t="n">
        <v>25.5</v>
      </c>
      <c r="E8" s="13" t="n">
        <v>27.7</v>
      </c>
      <c r="F8" s="13" t="n">
        <v>0</v>
      </c>
      <c r="G8" s="13" t="n">
        <v>14.9</v>
      </c>
      <c r="H8" s="13" t="n">
        <v>8.5</v>
      </c>
      <c r="I8" s="8">
        <f>SUM(C8:H8)</f>
        <v>100</v>
      </c>
    </row>
    <row r="9">
      <c r="A9" s="14" t="inlineStr">
        <is>
          <t>esit</t>
        </is>
      </c>
      <c r="B9" s="7" t="inlineStr">
        <is>
          <t>Eşit kategori ağırlığı</t>
        </is>
      </c>
      <c r="C9" s="13" t="n">
        <v>16.67</v>
      </c>
      <c r="D9" s="13" t="n">
        <v>16.67</v>
      </c>
      <c r="E9" s="13" t="n">
        <v>16.67</v>
      </c>
      <c r="F9" s="13" t="n">
        <v>16.67</v>
      </c>
      <c r="G9" s="13" t="n">
        <v>16.66</v>
      </c>
      <c r="H9" s="13" t="n">
        <v>16.66</v>
      </c>
      <c r="I9" s="8">
        <f>SUM(C9:H9)</f>
        <v>100</v>
      </c>
    </row>
    <row r="12">
      <c r="A12" s="4" t="inlineStr">
        <is>
          <t>Set</t>
        </is>
      </c>
      <c r="B12" s="4" t="inlineStr">
        <is>
          <t>Kriter ağırlıkları</t>
        </is>
      </c>
      <c r="C12" s="4" t="inlineStr">
        <is>
          <t>A1</t>
        </is>
      </c>
      <c r="D12" s="4" t="inlineStr">
        <is>
          <t>A2</t>
        </is>
      </c>
      <c r="E12" s="4" t="inlineStr">
        <is>
          <t>A3</t>
        </is>
      </c>
      <c r="F12" s="4" t="inlineStr">
        <is>
          <t>A4</t>
        </is>
      </c>
      <c r="G12" s="4" t="inlineStr">
        <is>
          <t>A5</t>
        </is>
      </c>
      <c r="H12" s="4" t="inlineStr">
        <is>
          <t>A6</t>
        </is>
      </c>
      <c r="I12" s="4" t="inlineStr">
        <is>
          <t>B1</t>
        </is>
      </c>
      <c r="J12" s="4" t="inlineStr">
        <is>
          <t>B2</t>
        </is>
      </c>
      <c r="K12" s="4" t="inlineStr">
        <is>
          <t>B3</t>
        </is>
      </c>
      <c r="L12" s="4" t="inlineStr">
        <is>
          <t>B4</t>
        </is>
      </c>
      <c r="M12" s="4" t="inlineStr">
        <is>
          <t>B5</t>
        </is>
      </c>
      <c r="N12" s="4" t="inlineStr">
        <is>
          <t>B6</t>
        </is>
      </c>
      <c r="O12" s="4" t="inlineStr">
        <is>
          <t>C1</t>
        </is>
      </c>
      <c r="P12" s="4" t="inlineStr">
        <is>
          <t>C2</t>
        </is>
      </c>
      <c r="Q12" s="4" t="inlineStr">
        <is>
          <t>C3</t>
        </is>
      </c>
      <c r="R12" s="4" t="inlineStr">
        <is>
          <t>C4</t>
        </is>
      </c>
      <c r="S12" s="4" t="inlineStr">
        <is>
          <t>C5</t>
        </is>
      </c>
      <c r="T12" s="4" t="inlineStr">
        <is>
          <t>C6</t>
        </is>
      </c>
      <c r="U12" s="4" t="inlineStr">
        <is>
          <t>D1</t>
        </is>
      </c>
      <c r="V12" s="4" t="inlineStr">
        <is>
          <t>D2</t>
        </is>
      </c>
      <c r="W12" s="4" t="inlineStr">
        <is>
          <t>D3</t>
        </is>
      </c>
      <c r="X12" s="4" t="inlineStr">
        <is>
          <t>E1</t>
        </is>
      </c>
      <c r="Y12" s="4" t="inlineStr">
        <is>
          <t>E2</t>
        </is>
      </c>
      <c r="Z12" s="4" t="inlineStr">
        <is>
          <t>F1</t>
        </is>
      </c>
      <c r="AA12" s="4" t="inlineStr">
        <is>
          <t>F2</t>
        </is>
      </c>
      <c r="AB12" s="4" t="inlineStr">
        <is>
          <t>F3</t>
        </is>
      </c>
    </row>
    <row r="13">
      <c r="A13" s="14" t="inlineStr">
        <is>
          <t>temel</t>
        </is>
      </c>
      <c r="C13" s="9">
        <f>$C$5*Kriterler!$E$14/SUMIF(Kriterler!$D$14:$D$39,Kriterler!$D$14,Kriterler!$E$14:$E$39)</f>
        <v>5</v>
      </c>
      <c r="D13" s="9">
        <f>$C$5*Kriterler!$E$15/SUMIF(Kriterler!$D$14:$D$39,Kriterler!$D$15,Kriterler!$E$14:$E$39)</f>
        <v>5</v>
      </c>
      <c r="E13" s="9">
        <f>$C$5*Kriterler!$E$16/SUMIF(Kriterler!$D$14:$D$39,Kriterler!$D$16,Kriterler!$E$14:$E$39)</f>
        <v>3</v>
      </c>
      <c r="F13" s="9">
        <f>$C$5*Kriterler!$E$17/SUMIF(Kriterler!$D$14:$D$39,Kriterler!$D$17,Kriterler!$E$14:$E$39)</f>
        <v>3</v>
      </c>
      <c r="G13" s="9">
        <f>$C$5*Kriterler!$E$18/SUMIF(Kriterler!$D$14:$D$39,Kriterler!$D$18,Kriterler!$E$14:$E$39)</f>
        <v>3</v>
      </c>
      <c r="H13" s="9">
        <f>$C$5*Kriterler!$E$19/SUMIF(Kriterler!$D$14:$D$39,Kriterler!$D$19,Kriterler!$E$14:$E$39)</f>
        <v>6</v>
      </c>
      <c r="I13" s="9">
        <f>$D$5*Kriterler!$E$20/SUMIF(Kriterler!$D$14:$D$39,Kriterler!$D$20,Kriterler!$E$14:$E$39)</f>
        <v>8</v>
      </c>
      <c r="J13" s="9">
        <f>$D$5*Kriterler!$E$21/SUMIF(Kriterler!$D$14:$D$39,Kriterler!$D$21,Kriterler!$E$14:$E$39)</f>
        <v>5</v>
      </c>
      <c r="K13" s="9">
        <f>$D$5*Kriterler!$E$22/SUMIF(Kriterler!$D$14:$D$39,Kriterler!$D$22,Kriterler!$E$14:$E$39)</f>
        <v>6</v>
      </c>
      <c r="L13" s="9">
        <f>$D$5*Kriterler!$E$23/SUMIF(Kriterler!$D$14:$D$39,Kriterler!$D$23,Kriterler!$E$14:$E$39)</f>
        <v>5</v>
      </c>
      <c r="M13" s="9">
        <f>$D$5*Kriterler!$E$24/SUMIF(Kriterler!$D$14:$D$39,Kriterler!$D$24,Kriterler!$E$14:$E$39)</f>
        <v>3</v>
      </c>
      <c r="N13" s="9">
        <f>$D$5*Kriterler!$E$25/SUMIF(Kriterler!$D$14:$D$39,Kriterler!$D$25,Kriterler!$E$14:$E$39)</f>
        <v>3</v>
      </c>
      <c r="O13" s="9">
        <f>$E$5*Kriterler!$E$26/SUMIF(Kriterler!$D$14:$D$39,Kriterler!$D$26,Kriterler!$E$14:$E$39)</f>
        <v>6</v>
      </c>
      <c r="P13" s="9">
        <f>$E$5*Kriterler!$E$27/SUMIF(Kriterler!$D$14:$D$39,Kriterler!$D$27,Kriterler!$E$14:$E$39)</f>
        <v>5</v>
      </c>
      <c r="Q13" s="9">
        <f>$E$5*Kriterler!$E$28/SUMIF(Kriterler!$D$14:$D$39,Kriterler!$D$28,Kriterler!$E$14:$E$39)</f>
        <v>4</v>
      </c>
      <c r="R13" s="9">
        <f>$E$5*Kriterler!$E$29/SUMIF(Kriterler!$D$14:$D$39,Kriterler!$D$29,Kriterler!$E$14:$E$39)</f>
        <v>3</v>
      </c>
      <c r="S13" s="9">
        <f>$E$5*Kriterler!$E$30/SUMIF(Kriterler!$D$14:$D$39,Kriterler!$D$30,Kriterler!$E$14:$E$39)</f>
        <v>2</v>
      </c>
      <c r="T13" s="9">
        <f>$E$5*Kriterler!$E$31/SUMIF(Kriterler!$D$14:$D$39,Kriterler!$D$31,Kriterler!$E$14:$E$39)</f>
        <v>2</v>
      </c>
      <c r="U13" s="9">
        <f>$F$5*Kriterler!$E$32/SUMIF(Kriterler!$D$14:$D$39,Kriterler!$D$32,Kriterler!$E$14:$E$39)</f>
        <v>4</v>
      </c>
      <c r="V13" s="9">
        <f>$F$5*Kriterler!$E$33/SUMIF(Kriterler!$D$14:$D$39,Kriterler!$D$33,Kriterler!$E$14:$E$39)</f>
        <v>2</v>
      </c>
      <c r="W13" s="9">
        <f>$F$5*Kriterler!$E$34/SUMIF(Kriterler!$D$14:$D$39,Kriterler!$D$34,Kriterler!$E$14:$E$39)</f>
        <v>2</v>
      </c>
      <c r="X13" s="9">
        <f>$G$5*Kriterler!$E$35/SUMIF(Kriterler!$D$14:$D$39,Kriterler!$D$35,Kriterler!$E$14:$E$39)</f>
        <v>3</v>
      </c>
      <c r="Y13" s="9">
        <f>$G$5*Kriterler!$E$36/SUMIF(Kriterler!$D$14:$D$39,Kriterler!$D$36,Kriterler!$E$14:$E$39)</f>
        <v>4</v>
      </c>
      <c r="Z13" s="9">
        <f>$H$5*Kriterler!$E$37/SUMIF(Kriterler!$D$14:$D$39,Kriterler!$D$37,Kriterler!$E$14:$E$39)</f>
        <v>4</v>
      </c>
      <c r="AA13" s="9">
        <f>$H$5*Kriterler!$E$38/SUMIF(Kriterler!$D$14:$D$39,Kriterler!$D$38,Kriterler!$E$14:$E$39)</f>
        <v>2</v>
      </c>
      <c r="AB13" s="9">
        <f>$H$5*Kriterler!$E$39/SUMIF(Kriterler!$D$14:$D$39,Kriterler!$D$39,Kriterler!$E$14:$E$39)</f>
        <v>2</v>
      </c>
    </row>
    <row r="14">
      <c r="A14" s="14" t="inlineStr">
        <is>
          <t>sohbet</t>
        </is>
      </c>
      <c r="C14" s="9">
        <f>$C$6*Kriterler!$E$14/SUMIF(Kriterler!$D$14:$D$39,Kriterler!$D$14,Kriterler!$E$14:$E$39)</f>
        <v>5</v>
      </c>
      <c r="D14" s="9">
        <f>$C$6*Kriterler!$E$15/SUMIF(Kriterler!$D$14:$D$39,Kriterler!$D$15,Kriterler!$E$14:$E$39)</f>
        <v>5</v>
      </c>
      <c r="E14" s="9">
        <f>$C$6*Kriterler!$E$16/SUMIF(Kriterler!$D$14:$D$39,Kriterler!$D$16,Kriterler!$E$14:$E$39)</f>
        <v>3</v>
      </c>
      <c r="F14" s="9">
        <f>$C$6*Kriterler!$E$17/SUMIF(Kriterler!$D$14:$D$39,Kriterler!$D$17,Kriterler!$E$14:$E$39)</f>
        <v>3</v>
      </c>
      <c r="G14" s="9">
        <f>$C$6*Kriterler!$E$18/SUMIF(Kriterler!$D$14:$D$39,Kriterler!$D$18,Kriterler!$E$14:$E$39)</f>
        <v>3</v>
      </c>
      <c r="H14" s="9">
        <f>$C$6*Kriterler!$E$19/SUMIF(Kriterler!$D$14:$D$39,Kriterler!$D$19,Kriterler!$E$14:$E$39)</f>
        <v>6</v>
      </c>
      <c r="I14" s="9">
        <f>$D$6*Kriterler!$E$20/SUMIF(Kriterler!$D$14:$D$39,Kriterler!$D$20,Kriterler!$E$14:$E$39)</f>
        <v>8</v>
      </c>
      <c r="J14" s="9">
        <f>$D$6*Kriterler!$E$21/SUMIF(Kriterler!$D$14:$D$39,Kriterler!$D$21,Kriterler!$E$14:$E$39)</f>
        <v>5</v>
      </c>
      <c r="K14" s="9">
        <f>$D$6*Kriterler!$E$22/SUMIF(Kriterler!$D$14:$D$39,Kriterler!$D$22,Kriterler!$E$14:$E$39)</f>
        <v>6</v>
      </c>
      <c r="L14" s="9">
        <f>$D$6*Kriterler!$E$23/SUMIF(Kriterler!$D$14:$D$39,Kriterler!$D$23,Kriterler!$E$14:$E$39)</f>
        <v>5</v>
      </c>
      <c r="M14" s="9">
        <f>$D$6*Kriterler!$E$24/SUMIF(Kriterler!$D$14:$D$39,Kriterler!$D$24,Kriterler!$E$14:$E$39)</f>
        <v>3</v>
      </c>
      <c r="N14" s="9">
        <f>$D$6*Kriterler!$E$25/SUMIF(Kriterler!$D$14:$D$39,Kriterler!$D$25,Kriterler!$E$14:$E$39)</f>
        <v>3</v>
      </c>
      <c r="O14" s="9">
        <f>$E$6*Kriterler!$E$26/SUMIF(Kriterler!$D$14:$D$39,Kriterler!$D$26,Kriterler!$E$14:$E$39)</f>
        <v>5.454545454545454</v>
      </c>
      <c r="P14" s="9">
        <f>$E$6*Kriterler!$E$27/SUMIF(Kriterler!$D$14:$D$39,Kriterler!$D$27,Kriterler!$E$14:$E$39)</f>
        <v>4.545454545454546</v>
      </c>
      <c r="Q14" s="9">
        <f>$E$6*Kriterler!$E$28/SUMIF(Kriterler!$D$14:$D$39,Kriterler!$D$28,Kriterler!$E$14:$E$39)</f>
        <v>3.636363636363636</v>
      </c>
      <c r="R14" s="9">
        <f>$E$6*Kriterler!$E$29/SUMIF(Kriterler!$D$14:$D$39,Kriterler!$D$29,Kriterler!$E$14:$E$39)</f>
        <v>2.727272727272727</v>
      </c>
      <c r="S14" s="9">
        <f>$E$6*Kriterler!$E$30/SUMIF(Kriterler!$D$14:$D$39,Kriterler!$D$30,Kriterler!$E$14:$E$39)</f>
        <v>1.818181818181818</v>
      </c>
      <c r="T14" s="9">
        <f>$E$6*Kriterler!$E$31/SUMIF(Kriterler!$D$14:$D$39,Kriterler!$D$31,Kriterler!$E$14:$E$39)</f>
        <v>1.818181818181818</v>
      </c>
      <c r="U14" s="9">
        <f>$F$6*Kriterler!$E$32/SUMIF(Kriterler!$D$14:$D$39,Kriterler!$D$32,Kriterler!$E$14:$E$39)</f>
        <v>5</v>
      </c>
      <c r="V14" s="9">
        <f>$F$6*Kriterler!$E$33/SUMIF(Kriterler!$D$14:$D$39,Kriterler!$D$33,Kriterler!$E$14:$E$39)</f>
        <v>2.5</v>
      </c>
      <c r="W14" s="9">
        <f>$F$6*Kriterler!$E$34/SUMIF(Kriterler!$D$14:$D$39,Kriterler!$D$34,Kriterler!$E$14:$E$39)</f>
        <v>2.5</v>
      </c>
      <c r="X14" s="9">
        <f>$G$6*Kriterler!$E$35/SUMIF(Kriterler!$D$14:$D$39,Kriterler!$D$35,Kriterler!$E$14:$E$39)</f>
        <v>4.285714285714286</v>
      </c>
      <c r="Y14" s="9">
        <f>$G$6*Kriterler!$E$36/SUMIF(Kriterler!$D$14:$D$39,Kriterler!$D$36,Kriterler!$E$14:$E$39)</f>
        <v>5.714285714285714</v>
      </c>
      <c r="Z14" s="9">
        <f>$H$6*Kriterler!$E$37/SUMIF(Kriterler!$D$14:$D$39,Kriterler!$D$37,Kriterler!$E$14:$E$39)</f>
        <v>2.5</v>
      </c>
      <c r="AA14" s="9">
        <f>$H$6*Kriterler!$E$38/SUMIF(Kriterler!$D$14:$D$39,Kriterler!$D$38,Kriterler!$E$14:$E$39)</f>
        <v>1.25</v>
      </c>
      <c r="AB14" s="9">
        <f>$H$6*Kriterler!$E$39/SUMIF(Kriterler!$D$14:$D$39,Kriterler!$D$39,Kriterler!$E$14:$E$39)</f>
        <v>1.25</v>
      </c>
    </row>
    <row r="15">
      <c r="A15" s="14" t="inlineStr">
        <is>
          <t>chatgpt</t>
        </is>
      </c>
      <c r="C15" s="9">
        <f>$C$7*Kriterler!$E$14/SUMIF(Kriterler!$D$14:$D$39,Kriterler!$D$14,Kriterler!$E$14:$E$39)</f>
        <v>6</v>
      </c>
      <c r="D15" s="9">
        <f>$C$7*Kriterler!$E$15/SUMIF(Kriterler!$D$14:$D$39,Kriterler!$D$15,Kriterler!$E$14:$E$39)</f>
        <v>6</v>
      </c>
      <c r="E15" s="9">
        <f>$C$7*Kriterler!$E$16/SUMIF(Kriterler!$D$14:$D$39,Kriterler!$D$16,Kriterler!$E$14:$E$39)</f>
        <v>3.6</v>
      </c>
      <c r="F15" s="9">
        <f>$C$7*Kriterler!$E$17/SUMIF(Kriterler!$D$14:$D$39,Kriterler!$D$17,Kriterler!$E$14:$E$39)</f>
        <v>3.6</v>
      </c>
      <c r="G15" s="9">
        <f>$C$7*Kriterler!$E$18/SUMIF(Kriterler!$D$14:$D$39,Kriterler!$D$18,Kriterler!$E$14:$E$39)</f>
        <v>3.6</v>
      </c>
      <c r="H15" s="9">
        <f>$C$7*Kriterler!$E$19/SUMIF(Kriterler!$D$14:$D$39,Kriterler!$D$19,Kriterler!$E$14:$E$39)</f>
        <v>7.2</v>
      </c>
      <c r="I15" s="9">
        <f>$D$7*Kriterler!$E$20/SUMIF(Kriterler!$D$14:$D$39,Kriterler!$D$20,Kriterler!$E$14:$E$39)</f>
        <v>8</v>
      </c>
      <c r="J15" s="9">
        <f>$D$7*Kriterler!$E$21/SUMIF(Kriterler!$D$14:$D$39,Kriterler!$D$21,Kriterler!$E$14:$E$39)</f>
        <v>5</v>
      </c>
      <c r="K15" s="9">
        <f>$D$7*Kriterler!$E$22/SUMIF(Kriterler!$D$14:$D$39,Kriterler!$D$22,Kriterler!$E$14:$E$39)</f>
        <v>6</v>
      </c>
      <c r="L15" s="9">
        <f>$D$7*Kriterler!$E$23/SUMIF(Kriterler!$D$14:$D$39,Kriterler!$D$23,Kriterler!$E$14:$E$39)</f>
        <v>5</v>
      </c>
      <c r="M15" s="9">
        <f>$D$7*Kriterler!$E$24/SUMIF(Kriterler!$D$14:$D$39,Kriterler!$D$24,Kriterler!$E$14:$E$39)</f>
        <v>3</v>
      </c>
      <c r="N15" s="9">
        <f>$D$7*Kriterler!$E$25/SUMIF(Kriterler!$D$14:$D$39,Kriterler!$D$25,Kriterler!$E$14:$E$39)</f>
        <v>3</v>
      </c>
      <c r="O15" s="9">
        <f>$E$7*Kriterler!$E$26/SUMIF(Kriterler!$D$14:$D$39,Kriterler!$D$26,Kriterler!$E$14:$E$39)</f>
        <v>5.454545454545454</v>
      </c>
      <c r="P15" s="9">
        <f>$E$7*Kriterler!$E$27/SUMIF(Kriterler!$D$14:$D$39,Kriterler!$D$27,Kriterler!$E$14:$E$39)</f>
        <v>4.545454545454546</v>
      </c>
      <c r="Q15" s="9">
        <f>$E$7*Kriterler!$E$28/SUMIF(Kriterler!$D$14:$D$39,Kriterler!$D$28,Kriterler!$E$14:$E$39)</f>
        <v>3.636363636363636</v>
      </c>
      <c r="R15" s="9">
        <f>$E$7*Kriterler!$E$29/SUMIF(Kriterler!$D$14:$D$39,Kriterler!$D$29,Kriterler!$E$14:$E$39)</f>
        <v>2.727272727272727</v>
      </c>
      <c r="S15" s="9">
        <f>$E$7*Kriterler!$E$30/SUMIF(Kriterler!$D$14:$D$39,Kriterler!$D$30,Kriterler!$E$14:$E$39)</f>
        <v>1.818181818181818</v>
      </c>
      <c r="T15" s="9">
        <f>$E$7*Kriterler!$E$31/SUMIF(Kriterler!$D$14:$D$39,Kriterler!$D$31,Kriterler!$E$14:$E$39)</f>
        <v>1.818181818181818</v>
      </c>
      <c r="U15" s="9">
        <f>$F$7*Kriterler!$E$32/SUMIF(Kriterler!$D$14:$D$39,Kriterler!$D$32,Kriterler!$E$14:$E$39)</f>
        <v>5</v>
      </c>
      <c r="V15" s="9">
        <f>$F$7*Kriterler!$E$33/SUMIF(Kriterler!$D$14:$D$39,Kriterler!$D$33,Kriterler!$E$14:$E$39)</f>
        <v>2.5</v>
      </c>
      <c r="W15" s="9">
        <f>$F$7*Kriterler!$E$34/SUMIF(Kriterler!$D$14:$D$39,Kriterler!$D$34,Kriterler!$E$14:$E$39)</f>
        <v>2.5</v>
      </c>
      <c r="X15" s="9">
        <f>$G$7*Kriterler!$E$35/SUMIF(Kriterler!$D$14:$D$39,Kriterler!$D$35,Kriterler!$E$14:$E$39)</f>
        <v>4.285714285714286</v>
      </c>
      <c r="Y15" s="9">
        <f>$G$7*Kriterler!$E$36/SUMIF(Kriterler!$D$14:$D$39,Kriterler!$D$36,Kriterler!$E$14:$E$39)</f>
        <v>5.714285714285714</v>
      </c>
      <c r="Z15" s="9">
        <f>$H$7*Kriterler!$E$37/SUMIF(Kriterler!$D$14:$D$39,Kriterler!$D$37,Kriterler!$E$14:$E$39)</f>
        <v>0</v>
      </c>
      <c r="AA15" s="9">
        <f>$H$7*Kriterler!$E$38/SUMIF(Kriterler!$D$14:$D$39,Kriterler!$D$38,Kriterler!$E$14:$E$39)</f>
        <v>0</v>
      </c>
      <c r="AB15" s="9">
        <f>$H$7*Kriterler!$E$39/SUMIF(Kriterler!$D$14:$D$39,Kriterler!$D$39,Kriterler!$E$14:$E$39)</f>
        <v>0</v>
      </c>
    </row>
    <row r="16">
      <c r="A16" s="14" t="inlineStr">
        <is>
          <t>claude</t>
        </is>
      </c>
      <c r="C16" s="9">
        <f>$C$8*Kriterler!$E$14/SUMIF(Kriterler!$D$14:$D$39,Kriterler!$D$14,Kriterler!$E$14:$E$39)</f>
        <v>4.68</v>
      </c>
      <c r="D16" s="9">
        <f>$C$8*Kriterler!$E$15/SUMIF(Kriterler!$D$14:$D$39,Kriterler!$D$15,Kriterler!$E$14:$E$39)</f>
        <v>4.68</v>
      </c>
      <c r="E16" s="9">
        <f>$C$8*Kriterler!$E$16/SUMIF(Kriterler!$D$14:$D$39,Kriterler!$D$16,Kriterler!$E$14:$E$39)</f>
        <v>2.807999999999999</v>
      </c>
      <c r="F16" s="9">
        <f>$C$8*Kriterler!$E$17/SUMIF(Kriterler!$D$14:$D$39,Kriterler!$D$17,Kriterler!$E$14:$E$39)</f>
        <v>2.807999999999999</v>
      </c>
      <c r="G16" s="9">
        <f>$C$8*Kriterler!$E$18/SUMIF(Kriterler!$D$14:$D$39,Kriterler!$D$18,Kriterler!$E$14:$E$39)</f>
        <v>2.807999999999999</v>
      </c>
      <c r="H16" s="9">
        <f>$C$8*Kriterler!$E$19/SUMIF(Kriterler!$D$14:$D$39,Kriterler!$D$19,Kriterler!$E$14:$E$39)</f>
        <v>5.615999999999999</v>
      </c>
      <c r="I16" s="9">
        <f>$D$8*Kriterler!$E$20/SUMIF(Kriterler!$D$14:$D$39,Kriterler!$D$20,Kriterler!$E$14:$E$39)</f>
        <v>6.8</v>
      </c>
      <c r="J16" s="9">
        <f>$D$8*Kriterler!$E$21/SUMIF(Kriterler!$D$14:$D$39,Kriterler!$D$21,Kriterler!$E$14:$E$39)</f>
        <v>4.25</v>
      </c>
      <c r="K16" s="9">
        <f>$D$8*Kriterler!$E$22/SUMIF(Kriterler!$D$14:$D$39,Kriterler!$D$22,Kriterler!$E$14:$E$39)</f>
        <v>5.1</v>
      </c>
      <c r="L16" s="9">
        <f>$D$8*Kriterler!$E$23/SUMIF(Kriterler!$D$14:$D$39,Kriterler!$D$23,Kriterler!$E$14:$E$39)</f>
        <v>4.25</v>
      </c>
      <c r="M16" s="9">
        <f>$D$8*Kriterler!$E$24/SUMIF(Kriterler!$D$14:$D$39,Kriterler!$D$24,Kriterler!$E$14:$E$39)</f>
        <v>2.55</v>
      </c>
      <c r="N16" s="9">
        <f>$D$8*Kriterler!$E$25/SUMIF(Kriterler!$D$14:$D$39,Kriterler!$D$25,Kriterler!$E$14:$E$39)</f>
        <v>2.55</v>
      </c>
      <c r="O16" s="9">
        <f>$E$8*Kriterler!$E$26/SUMIF(Kriterler!$D$14:$D$39,Kriterler!$D$26,Kriterler!$E$14:$E$39)</f>
        <v>7.554545454545454</v>
      </c>
      <c r="P16" s="9">
        <f>$E$8*Kriterler!$E$27/SUMIF(Kriterler!$D$14:$D$39,Kriterler!$D$27,Kriterler!$E$14:$E$39)</f>
        <v>6.295454545454546</v>
      </c>
      <c r="Q16" s="9">
        <f>$E$8*Kriterler!$E$28/SUMIF(Kriterler!$D$14:$D$39,Kriterler!$D$28,Kriterler!$E$14:$E$39)</f>
        <v>5.036363636363636</v>
      </c>
      <c r="R16" s="9">
        <f>$E$8*Kriterler!$E$29/SUMIF(Kriterler!$D$14:$D$39,Kriterler!$D$29,Kriterler!$E$14:$E$39)</f>
        <v>3.777272727272727</v>
      </c>
      <c r="S16" s="9">
        <f>$E$8*Kriterler!$E$30/SUMIF(Kriterler!$D$14:$D$39,Kriterler!$D$30,Kriterler!$E$14:$E$39)</f>
        <v>2.518181818181818</v>
      </c>
      <c r="T16" s="9">
        <f>$E$8*Kriterler!$E$31/SUMIF(Kriterler!$D$14:$D$39,Kriterler!$D$31,Kriterler!$E$14:$E$39)</f>
        <v>2.518181818181818</v>
      </c>
      <c r="U16" s="9">
        <f>$F$8*Kriterler!$E$32/SUMIF(Kriterler!$D$14:$D$39,Kriterler!$D$32,Kriterler!$E$14:$E$39)</f>
        <v>0</v>
      </c>
      <c r="V16" s="9">
        <f>$F$8*Kriterler!$E$33/SUMIF(Kriterler!$D$14:$D$39,Kriterler!$D$33,Kriterler!$E$14:$E$39)</f>
        <v>0</v>
      </c>
      <c r="W16" s="9">
        <f>$F$8*Kriterler!$E$34/SUMIF(Kriterler!$D$14:$D$39,Kriterler!$D$34,Kriterler!$E$14:$E$39)</f>
        <v>0</v>
      </c>
      <c r="X16" s="9">
        <f>$G$8*Kriterler!$E$35/SUMIF(Kriterler!$D$14:$D$39,Kriterler!$D$35,Kriterler!$E$14:$E$39)</f>
        <v>6.385714285714286</v>
      </c>
      <c r="Y16" s="9">
        <f>$G$8*Kriterler!$E$36/SUMIF(Kriterler!$D$14:$D$39,Kriterler!$D$36,Kriterler!$E$14:$E$39)</f>
        <v>8.514285714285714</v>
      </c>
      <c r="Z16" s="9">
        <f>$H$8*Kriterler!$E$37/SUMIF(Kriterler!$D$14:$D$39,Kriterler!$D$37,Kriterler!$E$14:$E$39)</f>
        <v>4.25</v>
      </c>
      <c r="AA16" s="9">
        <f>$H$8*Kriterler!$E$38/SUMIF(Kriterler!$D$14:$D$39,Kriterler!$D$38,Kriterler!$E$14:$E$39)</f>
        <v>2.125</v>
      </c>
      <c r="AB16" s="9">
        <f>$H$8*Kriterler!$E$39/SUMIF(Kriterler!$D$14:$D$39,Kriterler!$D$39,Kriterler!$E$14:$E$39)</f>
        <v>2.125</v>
      </c>
    </row>
    <row r="17">
      <c r="A17" s="14" t="inlineStr">
        <is>
          <t>esit</t>
        </is>
      </c>
      <c r="C17" s="9">
        <f>$C$9*Kriterler!$E$14/SUMIF(Kriterler!$D$14:$D$39,Kriterler!$D$14,Kriterler!$E$14:$E$39)</f>
        <v>3.334000000000001</v>
      </c>
      <c r="D17" s="9">
        <f>$C$9*Kriterler!$E$15/SUMIF(Kriterler!$D$14:$D$39,Kriterler!$D$15,Kriterler!$E$14:$E$39)</f>
        <v>3.334000000000001</v>
      </c>
      <c r="E17" s="9">
        <f>$C$9*Kriterler!$E$16/SUMIF(Kriterler!$D$14:$D$39,Kriterler!$D$16,Kriterler!$E$14:$E$39)</f>
        <v>2.0004</v>
      </c>
      <c r="F17" s="9">
        <f>$C$9*Kriterler!$E$17/SUMIF(Kriterler!$D$14:$D$39,Kriterler!$D$17,Kriterler!$E$14:$E$39)</f>
        <v>2.0004</v>
      </c>
      <c r="G17" s="9">
        <f>$C$9*Kriterler!$E$18/SUMIF(Kriterler!$D$14:$D$39,Kriterler!$D$18,Kriterler!$E$14:$E$39)</f>
        <v>2.0004</v>
      </c>
      <c r="H17" s="9">
        <f>$C$9*Kriterler!$E$19/SUMIF(Kriterler!$D$14:$D$39,Kriterler!$D$19,Kriterler!$E$14:$E$39)</f>
        <v>4.000800000000001</v>
      </c>
      <c r="I17" s="9">
        <f>$D$9*Kriterler!$E$20/SUMIF(Kriterler!$D$14:$D$39,Kriterler!$D$20,Kriterler!$E$14:$E$39)</f>
        <v>4.445333333333334</v>
      </c>
      <c r="J17" s="9">
        <f>$D$9*Kriterler!$E$21/SUMIF(Kriterler!$D$14:$D$39,Kriterler!$D$21,Kriterler!$E$14:$E$39)</f>
        <v>2.778333333333334</v>
      </c>
      <c r="K17" s="9">
        <f>$D$9*Kriterler!$E$22/SUMIF(Kriterler!$D$14:$D$39,Kriterler!$D$22,Kriterler!$E$14:$E$39)</f>
        <v>3.334000000000001</v>
      </c>
      <c r="L17" s="9">
        <f>$D$9*Kriterler!$E$23/SUMIF(Kriterler!$D$14:$D$39,Kriterler!$D$23,Kriterler!$E$14:$E$39)</f>
        <v>2.778333333333334</v>
      </c>
      <c r="M17" s="9">
        <f>$D$9*Kriterler!$E$24/SUMIF(Kriterler!$D$14:$D$39,Kriterler!$D$24,Kriterler!$E$14:$E$39)</f>
        <v>1.667</v>
      </c>
      <c r="N17" s="9">
        <f>$D$9*Kriterler!$E$25/SUMIF(Kriterler!$D$14:$D$39,Kriterler!$D$25,Kriterler!$E$14:$E$39)</f>
        <v>1.667</v>
      </c>
      <c r="O17" s="9">
        <f>$E$9*Kriterler!$E$26/SUMIF(Kriterler!$D$14:$D$39,Kriterler!$D$26,Kriterler!$E$14:$E$39)</f>
        <v>4.546363636363637</v>
      </c>
      <c r="P17" s="9">
        <f>$E$9*Kriterler!$E$27/SUMIF(Kriterler!$D$14:$D$39,Kriterler!$D$27,Kriterler!$E$14:$E$39)</f>
        <v>3.788636363636364</v>
      </c>
      <c r="Q17" s="9">
        <f>$E$9*Kriterler!$E$28/SUMIF(Kriterler!$D$14:$D$39,Kriterler!$D$28,Kriterler!$E$14:$E$39)</f>
        <v>3.030909090909091</v>
      </c>
      <c r="R17" s="9">
        <f>$E$9*Kriterler!$E$29/SUMIF(Kriterler!$D$14:$D$39,Kriterler!$D$29,Kriterler!$E$14:$E$39)</f>
        <v>2.273181818181818</v>
      </c>
      <c r="S17" s="9">
        <f>$E$9*Kriterler!$E$30/SUMIF(Kriterler!$D$14:$D$39,Kriterler!$D$30,Kriterler!$E$14:$E$39)</f>
        <v>1.515454545454546</v>
      </c>
      <c r="T17" s="9">
        <f>$E$9*Kriterler!$E$31/SUMIF(Kriterler!$D$14:$D$39,Kriterler!$D$31,Kriterler!$E$14:$E$39)</f>
        <v>1.515454545454546</v>
      </c>
      <c r="U17" s="9">
        <f>$F$9*Kriterler!$E$32/SUMIF(Kriterler!$D$14:$D$39,Kriterler!$D$32,Kriterler!$E$14:$E$39)</f>
        <v>8.335</v>
      </c>
      <c r="V17" s="9">
        <f>$F$9*Kriterler!$E$33/SUMIF(Kriterler!$D$14:$D$39,Kriterler!$D$33,Kriterler!$E$14:$E$39)</f>
        <v>4.1675</v>
      </c>
      <c r="W17" s="9">
        <f>$F$9*Kriterler!$E$34/SUMIF(Kriterler!$D$14:$D$39,Kriterler!$D$34,Kriterler!$E$14:$E$39)</f>
        <v>4.1675</v>
      </c>
      <c r="X17" s="9">
        <f>$G$9*Kriterler!$E$35/SUMIF(Kriterler!$D$14:$D$39,Kriterler!$D$35,Kriterler!$E$14:$E$39)</f>
        <v>7.140000000000001</v>
      </c>
      <c r="Y17" s="9">
        <f>$G$9*Kriterler!$E$36/SUMIF(Kriterler!$D$14:$D$39,Kriterler!$D$36,Kriterler!$E$14:$E$39)</f>
        <v>9.52</v>
      </c>
      <c r="Z17" s="9">
        <f>$H$9*Kriterler!$E$37/SUMIF(Kriterler!$D$14:$D$39,Kriterler!$D$37,Kriterler!$E$14:$E$39)</f>
        <v>8.33</v>
      </c>
      <c r="AA17" s="9">
        <f>$H$9*Kriterler!$E$38/SUMIF(Kriterler!$D$14:$D$39,Kriterler!$D$38,Kriterler!$E$14:$E$39)</f>
        <v>4.165</v>
      </c>
      <c r="AB17" s="9">
        <f>$H$9*Kriterler!$E$39/SUMIF(Kriterler!$D$14:$D$39,Kriterler!$D$39,Kriterler!$E$14:$E$39)</f>
        <v>4.165</v>
      </c>
    </row>
    <row r="21" ht="30" customHeight="1">
      <c r="A21" s="4" t="inlineStr">
        <is>
          <t>Kimlik</t>
        </is>
      </c>
      <c r="B21" s="4" t="inlineStr">
        <is>
          <t>Seçenek</t>
        </is>
      </c>
      <c r="C21" s="4" t="inlineStr">
        <is>
          <t>Puan: temel</t>
        </is>
      </c>
      <c r="D21" s="4" t="inlineStr">
        <is>
          <t>Puan: sohbet</t>
        </is>
      </c>
      <c r="E21" s="4" t="inlineStr">
        <is>
          <t>Puan: chatgpt</t>
        </is>
      </c>
      <c r="F21" s="4" t="inlineStr">
        <is>
          <t>Puan: claude</t>
        </is>
      </c>
      <c r="G21" s="4" t="inlineStr">
        <is>
          <t>Puan: esit</t>
        </is>
      </c>
      <c r="H21" s="4" t="inlineStr">
        <is>
          <t>Sıra: temel</t>
        </is>
      </c>
      <c r="I21" s="4" t="inlineStr">
        <is>
          <t>Sıra: sohbet</t>
        </is>
      </c>
      <c r="J21" s="4" t="inlineStr">
        <is>
          <t>Sıra: chatgpt</t>
        </is>
      </c>
      <c r="K21" s="4" t="inlineStr">
        <is>
          <t>Sıra: claude</t>
        </is>
      </c>
      <c r="L21" s="4" t="inlineStr">
        <is>
          <t>Sıra: esit</t>
        </is>
      </c>
      <c r="M21" s="4" t="inlineStr">
        <is>
          <t>En iyi sıra</t>
        </is>
      </c>
      <c r="N21" s="4" t="inlineStr">
        <is>
          <t>En kötü sıra</t>
        </is>
      </c>
    </row>
    <row r="22">
      <c r="A22" s="7" t="str">
        <f>Secenekler!A5</f>
        <v>zabuno-a</v>
      </c>
      <c r="B22" s="7" t="str">
        <f>Secenekler!C5</f>
        <v>Kafe aboneliği: kurulum dahil Restaurant planı</v>
      </c>
      <c r="C22" s="8">
        <f>IF(Hesap!D5="kaldi","",SUMPRODUCT($C$13:$AB$13,Puanlar!C5:AB5)/5)</f>
        <v>57</v>
      </c>
      <c r="D22" s="8">
        <f>IF(Hesap!D5="kaldi","",SUMPRODUCT($C$14:$AB$14,Puanlar!C5:AB5)/5)</f>
        <v>56.17532467532467</v>
      </c>
      <c r="E22" s="8">
        <f>IF(Hesap!D5="kaldi","",SUMPRODUCT($C$15:$AB$15,Puanlar!C5:AB5)/5)</f>
        <v>55.91532467532467</v>
      </c>
      <c r="F22" s="8">
        <f>IF(Hesap!D5="kaldi","",SUMPRODUCT($C$16:$AB$16,Puanlar!C5:AB5)/5)</f>
        <v>57.29852467532468</v>
      </c>
      <c r="G22" s="8">
        <f>IF(Hesap!D5="kaldi","",SUMPRODUCT($C$17:$AB$17,Puanlar!C5:AB5)/5)</f>
        <v>56.96548121212122</v>
      </c>
      <c r="H22" s="5">
        <f>IF(C22="","",1+COUNTIF($C$22:$C$153,"&gt;"&amp;C22))</f>
        <v>8</v>
      </c>
      <c r="I22" s="5">
        <f>IF(D22="","",1+COUNTIF($D$22:$D$153,"&gt;"&amp;D22))</f>
        <v>11</v>
      </c>
      <c r="J22" s="5">
        <f>IF(E22="","",1+COUNTIF($E$22:$E$153,"&gt;"&amp;E22))</f>
        <v>14</v>
      </c>
      <c r="K22" s="5">
        <f>IF(F22="","",1+COUNTIF($F$22:$F$153,"&gt;"&amp;F22))</f>
        <v>21</v>
      </c>
      <c r="L22" s="5">
        <f>IF(G22="","",1+COUNTIF($G$22:$G$153,"&gt;"&amp;G22))</f>
        <v>15</v>
      </c>
      <c r="M22" s="5">
        <f>IF(H22="","",MIN(H22:L22))</f>
        <v>8</v>
      </c>
      <c r="N22" s="5">
        <f>IF(H22="","",MAX(H22:L22))</f>
        <v>21</v>
      </c>
    </row>
    <row r="23">
      <c r="A23" s="7" t="str">
        <f>Secenekler!A6</f>
        <v>zabuno-b</v>
      </c>
      <c r="B23" s="7" t="str">
        <f>Secenekler!C6</f>
        <v>Zincir planı: çok şubeli kahve zinciri pilotu</v>
      </c>
      <c r="C23" s="8" t="str">
        <f>IF(Hesap!D6="kaldi","",SUMPRODUCT($C$13:$AB$13,Puanlar!C6:AB6)/5)</f>
        <v/>
      </c>
      <c r="D23" s="8" t="str">
        <f>IF(Hesap!D6="kaldi","",SUMPRODUCT($C$14:$AB$14,Puanlar!C6:AB6)/5)</f>
        <v/>
      </c>
      <c r="E23" s="8" t="str">
        <f>IF(Hesap!D6="kaldi","",SUMPRODUCT($C$15:$AB$15,Puanlar!C6:AB6)/5)</f>
        <v/>
      </c>
      <c r="F23" s="8" t="str">
        <f>IF(Hesap!D6="kaldi","",SUMPRODUCT($C$16:$AB$16,Puanlar!C6:AB6)/5)</f>
        <v/>
      </c>
      <c r="G23" s="8" t="str">
        <f>IF(Hesap!D6="kaldi","",SUMPRODUCT($C$17:$AB$17,Puanlar!C6:AB6)/5)</f>
        <v/>
      </c>
      <c r="H23" s="5" t="str">
        <f>IF(C23="","",1+COUNTIF($C$22:$C$153,"&gt;"&amp;C23))</f>
        <v/>
      </c>
      <c r="I23" s="5" t="str">
        <f>IF(D23="","",1+COUNTIF($D$22:$D$153,"&gt;"&amp;D23))</f>
        <v/>
      </c>
      <c r="J23" s="5" t="str">
        <f>IF(E23="","",1+COUNTIF($E$22:$E$153,"&gt;"&amp;E23))</f>
        <v/>
      </c>
      <c r="K23" s="5" t="str">
        <f>IF(F23="","",1+COUNTIF($F$22:$F$153,"&gt;"&amp;F23))</f>
        <v/>
      </c>
      <c r="L23" s="5" t="str">
        <f>IF(G23="","",1+COUNTIF($G$22:$G$153,"&gt;"&amp;G23))</f>
        <v/>
      </c>
      <c r="M23" s="5" t="str">
        <f>IF(H23="","",MIN(H23:L23))</f>
        <v/>
      </c>
      <c r="N23" s="5" t="str">
        <f>IF(H23="","",MAX(H23:L23))</f>
        <v/>
      </c>
    </row>
    <row r="24">
      <c r="A24" s="7" t="str">
        <f>Secenekler!A7</f>
        <v>zabuno-c</v>
      </c>
      <c r="B24" s="7" t="str">
        <f>Secenekler!C7</f>
        <v>Restoran paneli modül uyarlama hizmeti</v>
      </c>
      <c r="C24" s="8">
        <f>IF(Hesap!D7="kaldi","",SUMPRODUCT($C$13:$AB$13,Puanlar!C7:AB7)/5)</f>
        <v>39.4</v>
      </c>
      <c r="D24" s="8">
        <f>IF(Hesap!D7="kaldi","",SUMPRODUCT($C$14:$AB$14,Puanlar!C7:AB7)/5)</f>
        <v>39.97987012987013</v>
      </c>
      <c r="E24" s="8">
        <f>IF(Hesap!D7="kaldi","",SUMPRODUCT($C$15:$AB$15,Puanlar!C7:AB7)/5)</f>
        <v>39.36987012987013</v>
      </c>
      <c r="F24" s="8">
        <f>IF(Hesap!D7="kaldi","",SUMPRODUCT($C$16:$AB$16,Puanlar!C7:AB7)/5)</f>
        <v>38.72007012987013</v>
      </c>
      <c r="G24" s="8">
        <f>IF(Hesap!D7="kaldi","",SUMPRODUCT($C$17:$AB$17,Puanlar!C7:AB7)/5)</f>
        <v>45.12217818181819</v>
      </c>
      <c r="H24" s="5">
        <f>IF(C24="","",1+COUNTIF($C$22:$C$153,"&gt;"&amp;C24))</f>
        <v>110</v>
      </c>
      <c r="I24" s="5">
        <f>IF(D24="","",1+COUNTIF($D$22:$D$153,"&gt;"&amp;D24))</f>
        <v>110</v>
      </c>
      <c r="J24" s="5">
        <f>IF(E24="","",1+COUNTIF($E$22:$E$153,"&gt;"&amp;E24))</f>
        <v>109</v>
      </c>
      <c r="K24" s="5">
        <f>IF(F24="","",1+COUNTIF($F$22:$F$153,"&gt;"&amp;F24))</f>
        <v>110</v>
      </c>
      <c r="L24" s="5">
        <f>IF(G24="","",1+COUNTIF($G$22:$G$153,"&gt;"&amp;G24))</f>
        <v>103</v>
      </c>
      <c r="M24" s="5">
        <f>IF(H24="","",MIN(H24:L24))</f>
        <v>103</v>
      </c>
      <c r="N24" s="5">
        <f>IF(H24="","",MAX(H24:L24))</f>
        <v>110</v>
      </c>
    </row>
    <row r="25">
      <c r="A25" s="7" t="str">
        <f>Secenekler!A8</f>
        <v>parselq-a</v>
      </c>
      <c r="B25" s="7" t="str">
        <f>Secenekler!C8</f>
        <v>ParselQ Rapor: tek parsel bilgi notu (bireysel alıcı)</v>
      </c>
      <c r="C25" s="8">
        <f>IF(Hesap!D8="kaldi","",SUMPRODUCT($C$13:$AB$13,Puanlar!C8:AB8)/5)</f>
        <v>53.2</v>
      </c>
      <c r="D25" s="8">
        <f>IF(Hesap!D8="kaldi","",SUMPRODUCT($C$14:$AB$14,Puanlar!C8:AB8)/5)</f>
        <v>52.5025974025974</v>
      </c>
      <c r="E25" s="8">
        <f>IF(Hesap!D8="kaldi","",SUMPRODUCT($C$15:$AB$15,Puanlar!C8:AB8)/5)</f>
        <v>52.86259740259741</v>
      </c>
      <c r="F25" s="8">
        <f>IF(Hesap!D8="kaldi","",SUMPRODUCT($C$16:$AB$16,Puanlar!C8:AB8)/5)</f>
        <v>54.39739740259741</v>
      </c>
      <c r="G25" s="8">
        <f>IF(Hesap!D8="kaldi","",SUMPRODUCT($C$17:$AB$17,Puanlar!C8:AB8)/5)</f>
        <v>51.58257636363637</v>
      </c>
      <c r="H25" s="5">
        <f>IF(C25="","",1+COUNTIF($C$22:$C$153,"&gt;"&amp;C25))</f>
        <v>35</v>
      </c>
      <c r="I25" s="5">
        <f>IF(D25="","",1+COUNTIF($D$22:$D$153,"&gt;"&amp;D25))</f>
        <v>34</v>
      </c>
      <c r="J25" s="5">
        <f>IF(E25="","",1+COUNTIF($E$22:$E$153,"&gt;"&amp;E25))</f>
        <v>24</v>
      </c>
      <c r="K25" s="5">
        <f>IF(F25="","",1+COUNTIF($F$22:$F$153,"&gt;"&amp;F25))</f>
        <v>38</v>
      </c>
      <c r="L25" s="5">
        <f>IF(G25="","",1+COUNTIF($G$22:$G$153,"&gt;"&amp;G25))</f>
        <v>60</v>
      </c>
      <c r="M25" s="5">
        <f>IF(H25="","",MIN(H25:L25))</f>
        <v>24</v>
      </c>
      <c r="N25" s="5">
        <f>IF(H25="","",MAX(H25:L25))</f>
        <v>60</v>
      </c>
    </row>
    <row r="26">
      <c r="A26" s="7" t="str">
        <f>Secenekler!A9</f>
        <v>parselq-b</v>
      </c>
      <c r="B26" s="7" t="str">
        <f>Secenekler!C9</f>
        <v>Parsel Kartı: emlakçıya arsa ilanı için güven kartı aboneliği</v>
      </c>
      <c r="C26" s="8">
        <f>IF(Hesap!D9="kaldi","",SUMPRODUCT($C$13:$AB$13,Puanlar!C9:AB9)/5)</f>
        <v>51.4</v>
      </c>
      <c r="D26" s="8">
        <f>IF(Hesap!D9="kaldi","",SUMPRODUCT($C$14:$AB$14,Puanlar!C9:AB9)/5)</f>
        <v>51.14285714285714</v>
      </c>
      <c r="E26" s="8">
        <f>IF(Hesap!D9="kaldi","",SUMPRODUCT($C$15:$AB$15,Puanlar!C9:AB9)/5)</f>
        <v>51.20285714285715</v>
      </c>
      <c r="F26" s="8">
        <f>IF(Hesap!D9="kaldi","",SUMPRODUCT($C$16:$AB$16,Puanlar!C9:AB9)/5)</f>
        <v>52.58365714285713</v>
      </c>
      <c r="G26" s="8">
        <f>IF(Hesap!D9="kaldi","",SUMPRODUCT($C$17:$AB$17,Puanlar!C9:AB9)/5)</f>
        <v>50.82700666666667</v>
      </c>
      <c r="H26" s="5">
        <f>IF(C26="","",1+COUNTIF($C$22:$C$153,"&gt;"&amp;C26))</f>
        <v>50</v>
      </c>
      <c r="I26" s="5">
        <f>IF(D26="","",1+COUNTIF($D$22:$D$153,"&gt;"&amp;D26))</f>
        <v>43</v>
      </c>
      <c r="J26" s="5">
        <f>IF(E26="","",1+COUNTIF($E$22:$E$153,"&gt;"&amp;E26))</f>
        <v>34</v>
      </c>
      <c r="K26" s="5">
        <f>IF(F26="","",1+COUNTIF($F$22:$F$153,"&gt;"&amp;F26))</f>
        <v>46</v>
      </c>
      <c r="L26" s="5">
        <f>IF(G26="","",1+COUNTIF($G$22:$G$153,"&gt;"&amp;G26))</f>
        <v>66</v>
      </c>
      <c r="M26" s="5">
        <f>IF(H26="","",MIN(H26:L26))</f>
        <v>34</v>
      </c>
      <c r="N26" s="5">
        <f>IF(H26="","",MAX(H26:L26))</f>
        <v>66</v>
      </c>
    </row>
    <row r="27">
      <c r="A27" s="7" t="str">
        <f>Secenekler!A10</f>
        <v>parselq-c</v>
      </c>
      <c r="B27" s="7" t="str">
        <f>Secenekler!C10</f>
        <v>Uzmanlı karar dosyası: kaynak izli arsa raporu (danışmanlık ofisi)</v>
      </c>
      <c r="C27" s="8">
        <f>IF(Hesap!D10="kaldi","",SUMPRODUCT($C$13:$AB$13,Puanlar!C10:AB10)/5)</f>
        <v>42.6</v>
      </c>
      <c r="D27" s="8">
        <f>IF(Hesap!D10="kaldi","",SUMPRODUCT($C$14:$AB$14,Puanlar!C10:AB10)/5)</f>
        <v>42.94545454545455</v>
      </c>
      <c r="E27" s="8">
        <f>IF(Hesap!D10="kaldi","",SUMPRODUCT($C$15:$AB$15,Puanlar!C10:AB10)/5)</f>
        <v>43.34545454545455</v>
      </c>
      <c r="F27" s="8">
        <f>IF(Hesap!D10="kaldi","",SUMPRODUCT($C$16:$AB$16,Puanlar!C10:AB10)/5)</f>
        <v>41.26745454545454</v>
      </c>
      <c r="G27" s="8">
        <f>IF(Hesap!D10="kaldi","",SUMPRODUCT($C$17:$AB$17,Puanlar!C10:AB10)/5)</f>
        <v>44.23316969696971</v>
      </c>
      <c r="H27" s="5">
        <f>IF(C27="","",1+COUNTIF($C$22:$C$153,"&gt;"&amp;C27))</f>
        <v>103</v>
      </c>
      <c r="I27" s="5">
        <f>IF(D27="","",1+COUNTIF($D$22:$D$153,"&gt;"&amp;D27))</f>
        <v>102</v>
      </c>
      <c r="J27" s="5">
        <f>IF(E27="","",1+COUNTIF($E$22:$E$153,"&gt;"&amp;E27))</f>
        <v>97</v>
      </c>
      <c r="K27" s="5">
        <f>IF(F27="","",1+COUNTIF($F$22:$F$153,"&gt;"&amp;F27))</f>
        <v>105</v>
      </c>
      <c r="L27" s="5">
        <f>IF(G27="","",1+COUNTIF($G$22:$G$153,"&gt;"&amp;G27))</f>
        <v>105</v>
      </c>
      <c r="M27" s="5">
        <f>IF(H27="","",MIN(H27:L27))</f>
        <v>97</v>
      </c>
      <c r="N27" s="5">
        <f>IF(H27="","",MAX(H27:L27))</f>
        <v>105</v>
      </c>
    </row>
    <row r="28">
      <c r="A28" s="7" t="str">
        <f>Secenekler!A11</f>
        <v>destektesvik-a</v>
      </c>
      <c r="B28" s="7" t="str">
        <f>Secenekler!C11</f>
        <v>Uzman onaylı ön değerlendirme raporu (KOBİ)</v>
      </c>
      <c r="C28" s="8">
        <f>IF(Hesap!D11="kaldi","",SUMPRODUCT($C$13:$AB$13,Puanlar!C11:AB11)/5)</f>
        <v>56.4</v>
      </c>
      <c r="D28" s="8">
        <f>IF(Hesap!D11="kaldi","",SUMPRODUCT($C$14:$AB$14,Puanlar!C11:AB11)/5)</f>
        <v>55.27727272727272</v>
      </c>
      <c r="E28" s="8">
        <f>IF(Hesap!D11="kaldi","",SUMPRODUCT($C$15:$AB$15,Puanlar!C11:AB11)/5)</f>
        <v>55.70727272727273</v>
      </c>
      <c r="F28" s="8">
        <f>IF(Hesap!D11="kaldi","",SUMPRODUCT($C$16:$AB$16,Puanlar!C11:AB11)/5)</f>
        <v>56.65467272727271</v>
      </c>
      <c r="G28" s="8">
        <f>IF(Hesap!D11="kaldi","",SUMPRODUCT($C$17:$AB$17,Puanlar!C11:AB11)/5)</f>
        <v>53.0950684848485</v>
      </c>
      <c r="H28" s="5">
        <f>IF(C28="","",1+COUNTIF($C$22:$C$153,"&gt;"&amp;C28))</f>
        <v>12</v>
      </c>
      <c r="I28" s="5">
        <f>IF(D28="","",1+COUNTIF($D$22:$D$153,"&gt;"&amp;D28))</f>
        <v>17</v>
      </c>
      <c r="J28" s="5">
        <f>IF(E28="","",1+COUNTIF($E$22:$E$153,"&gt;"&amp;E28))</f>
        <v>15</v>
      </c>
      <c r="K28" s="5">
        <f>IF(F28="","",1+COUNTIF($F$22:$F$153,"&gt;"&amp;F28))</f>
        <v>25</v>
      </c>
      <c r="L28" s="5">
        <f>IF(G28="","",1+COUNTIF($G$22:$G$153,"&gt;"&amp;G28))</f>
        <v>43</v>
      </c>
      <c r="M28" s="5">
        <f>IF(H28="","",MIN(H28:L28))</f>
        <v>12</v>
      </c>
      <c r="N28" s="5">
        <f>IF(H28="","",MAX(H28:L28))</f>
        <v>43</v>
      </c>
    </row>
    <row r="29">
      <c r="A29" s="7" t="str">
        <f>Secenekler!A12</f>
        <v>destektesvik-b</v>
      </c>
      <c r="B29" s="7" t="str">
        <f>Secenekler!C12</f>
        <v>Mali müşavir ve danışman portföy tarama paketi</v>
      </c>
      <c r="C29" s="8" t="str">
        <f>IF(Hesap!D12="kaldi","",SUMPRODUCT($C$13:$AB$13,Puanlar!C12:AB12)/5)</f>
        <v/>
      </c>
      <c r="D29" s="8" t="str">
        <f>IF(Hesap!D12="kaldi","",SUMPRODUCT($C$14:$AB$14,Puanlar!C12:AB12)/5)</f>
        <v/>
      </c>
      <c r="E29" s="8" t="str">
        <f>IF(Hesap!D12="kaldi","",SUMPRODUCT($C$15:$AB$15,Puanlar!C12:AB12)/5)</f>
        <v/>
      </c>
      <c r="F29" s="8" t="str">
        <f>IF(Hesap!D12="kaldi","",SUMPRODUCT($C$16:$AB$16,Puanlar!C12:AB12)/5)</f>
        <v/>
      </c>
      <c r="G29" s="8" t="str">
        <f>IF(Hesap!D12="kaldi","",SUMPRODUCT($C$17:$AB$17,Puanlar!C12:AB12)/5)</f>
        <v/>
      </c>
      <c r="H29" s="5" t="str">
        <f>IF(C29="","",1+COUNTIF($C$22:$C$153,"&gt;"&amp;C29))</f>
        <v/>
      </c>
      <c r="I29" s="5" t="str">
        <f>IF(D29="","",1+COUNTIF($D$22:$D$153,"&gt;"&amp;D29))</f>
        <v/>
      </c>
      <c r="J29" s="5" t="str">
        <f>IF(E29="","",1+COUNTIF($E$22:$E$153,"&gt;"&amp;E29))</f>
        <v/>
      </c>
      <c r="K29" s="5" t="str">
        <f>IF(F29="","",1+COUNTIF($F$22:$F$153,"&gt;"&amp;F29))</f>
        <v/>
      </c>
      <c r="L29" s="5" t="str">
        <f>IF(G29="","",1+COUNTIF($G$22:$G$153,"&gt;"&amp;G29))</f>
        <v/>
      </c>
      <c r="M29" s="5" t="str">
        <f>IF(H29="","",MIN(H29:L29))</f>
        <v/>
      </c>
      <c r="N29" s="5" t="str">
        <f>IF(H29="","",MAX(H29:L29))</f>
        <v/>
      </c>
    </row>
    <row r="30">
      <c r="A30" s="7" t="str">
        <f>Secenekler!A13</f>
        <v>destektesvik-c</v>
      </c>
      <c r="B30" s="7" t="str">
        <f>Secenekler!C13</f>
        <v>Oda ve OSB üye taraması sponsorluk paketi</v>
      </c>
      <c r="C30" s="8" t="str">
        <f>IF(Hesap!D13="kaldi","",SUMPRODUCT($C$13:$AB$13,Puanlar!C13:AB13)/5)</f>
        <v/>
      </c>
      <c r="D30" s="8" t="str">
        <f>IF(Hesap!D13="kaldi","",SUMPRODUCT($C$14:$AB$14,Puanlar!C13:AB13)/5)</f>
        <v/>
      </c>
      <c r="E30" s="8" t="str">
        <f>IF(Hesap!D13="kaldi","",SUMPRODUCT($C$15:$AB$15,Puanlar!C13:AB13)/5)</f>
        <v/>
      </c>
      <c r="F30" s="8" t="str">
        <f>IF(Hesap!D13="kaldi","",SUMPRODUCT($C$16:$AB$16,Puanlar!C13:AB13)/5)</f>
        <v/>
      </c>
      <c r="G30" s="8" t="str">
        <f>IF(Hesap!D13="kaldi","",SUMPRODUCT($C$17:$AB$17,Puanlar!C13:AB13)/5)</f>
        <v/>
      </c>
      <c r="H30" s="5" t="str">
        <f>IF(C30="","",1+COUNTIF($C$22:$C$153,"&gt;"&amp;C30))</f>
        <v/>
      </c>
      <c r="I30" s="5" t="str">
        <f>IF(D30="","",1+COUNTIF($D$22:$D$153,"&gt;"&amp;D30))</f>
        <v/>
      </c>
      <c r="J30" s="5" t="str">
        <f>IF(E30="","",1+COUNTIF($E$22:$E$153,"&gt;"&amp;E30))</f>
        <v/>
      </c>
      <c r="K30" s="5" t="str">
        <f>IF(F30="","",1+COUNTIF($F$22:$F$153,"&gt;"&amp;F30))</f>
        <v/>
      </c>
      <c r="L30" s="5" t="str">
        <f>IF(G30="","",1+COUNTIF($G$22:$G$153,"&gt;"&amp;G30))</f>
        <v/>
      </c>
      <c r="M30" s="5" t="str">
        <f>IF(H30="","",MIN(H30:L30))</f>
        <v/>
      </c>
      <c r="N30" s="5" t="str">
        <f>IF(H30="","",MAX(H30:L30))</f>
        <v/>
      </c>
    </row>
    <row r="31">
      <c r="A31" s="7" t="str">
        <f>Secenekler!A14</f>
        <v>asgari-iscilik-a</v>
      </c>
      <c r="B31" s="7" t="str">
        <f>Secenekler!C14</f>
        <v>Bir inşaat firmasına sabit fiyatlı uyum yazılımı projesi</v>
      </c>
      <c r="C31" s="8" t="str">
        <f>IF(Hesap!D14="kaldi","",SUMPRODUCT($C$13:$AB$13,Puanlar!C14:AB14)/5)</f>
        <v/>
      </c>
      <c r="D31" s="8" t="str">
        <f>IF(Hesap!D14="kaldi","",SUMPRODUCT($C$14:$AB$14,Puanlar!C14:AB14)/5)</f>
        <v/>
      </c>
      <c r="E31" s="8" t="str">
        <f>IF(Hesap!D14="kaldi","",SUMPRODUCT($C$15:$AB$15,Puanlar!C14:AB14)/5)</f>
        <v/>
      </c>
      <c r="F31" s="8" t="str">
        <f>IF(Hesap!D14="kaldi","",SUMPRODUCT($C$16:$AB$16,Puanlar!C14:AB14)/5)</f>
        <v/>
      </c>
      <c r="G31" s="8" t="str">
        <f>IF(Hesap!D14="kaldi","",SUMPRODUCT($C$17:$AB$17,Puanlar!C14:AB14)/5)</f>
        <v/>
      </c>
      <c r="H31" s="5" t="str">
        <f>IF(C31="","",1+COUNTIF($C$22:$C$153,"&gt;"&amp;C31))</f>
        <v/>
      </c>
      <c r="I31" s="5" t="str">
        <f>IF(D31="","",1+COUNTIF($D$22:$D$153,"&gt;"&amp;D31))</f>
        <v/>
      </c>
      <c r="J31" s="5" t="str">
        <f>IF(E31="","",1+COUNTIF($E$22:$E$153,"&gt;"&amp;E31))</f>
        <v/>
      </c>
      <c r="K31" s="5" t="str">
        <f>IF(F31="","",1+COUNTIF($F$22:$F$153,"&gt;"&amp;F31))</f>
        <v/>
      </c>
      <c r="L31" s="5" t="str">
        <f>IF(G31="","",1+COUNTIF($G$22:$G$153,"&gt;"&amp;G31))</f>
        <v/>
      </c>
      <c r="M31" s="5" t="str">
        <f>IF(H31="","",MIN(H31:L31))</f>
        <v/>
      </c>
      <c r="N31" s="5" t="str">
        <f>IF(H31="","",MAX(H31:L31))</f>
        <v/>
      </c>
    </row>
    <row r="32">
      <c r="A32" s="7" t="str">
        <f>Secenekler!A15</f>
        <v>asgari-iscilik-b</v>
      </c>
      <c r="B32" s="7" t="str">
        <f>Secenekler!C15</f>
        <v>Mali müşavir ve yükleniciye aylık abonelik (çok kiracılı platform)</v>
      </c>
      <c r="C32" s="8" t="str">
        <f>IF(Hesap!D15="kaldi","",SUMPRODUCT($C$13:$AB$13,Puanlar!C15:AB15)/5)</f>
        <v/>
      </c>
      <c r="D32" s="8" t="str">
        <f>IF(Hesap!D15="kaldi","",SUMPRODUCT($C$14:$AB$14,Puanlar!C15:AB15)/5)</f>
        <v/>
      </c>
      <c r="E32" s="8" t="str">
        <f>IF(Hesap!D15="kaldi","",SUMPRODUCT($C$15:$AB$15,Puanlar!C15:AB15)/5)</f>
        <v/>
      </c>
      <c r="F32" s="8" t="str">
        <f>IF(Hesap!D15="kaldi","",SUMPRODUCT($C$16:$AB$16,Puanlar!C15:AB15)/5)</f>
        <v/>
      </c>
      <c r="G32" s="8" t="str">
        <f>IF(Hesap!D15="kaldi","",SUMPRODUCT($C$17:$AB$17,Puanlar!C15:AB15)/5)</f>
        <v/>
      </c>
      <c r="H32" s="5" t="str">
        <f>IF(C32="","",1+COUNTIF($C$22:$C$153,"&gt;"&amp;C32))</f>
        <v/>
      </c>
      <c r="I32" s="5" t="str">
        <f>IF(D32="","",1+COUNTIF($D$22:$D$153,"&gt;"&amp;D32))</f>
        <v/>
      </c>
      <c r="J32" s="5" t="str">
        <f>IF(E32="","",1+COUNTIF($E$22:$E$153,"&gt;"&amp;E32))</f>
        <v/>
      </c>
      <c r="K32" s="5" t="str">
        <f>IF(F32="","",1+COUNTIF($F$22:$F$153,"&gt;"&amp;F32))</f>
        <v/>
      </c>
      <c r="L32" s="5" t="str">
        <f>IF(G32="","",1+COUNTIF($G$22:$G$153,"&gt;"&amp;G32))</f>
        <v/>
      </c>
      <c r="M32" s="5" t="str">
        <f>IF(H32="","",MIN(H32:L32))</f>
        <v/>
      </c>
      <c r="N32" s="5" t="str">
        <f>IF(H32="","",MAX(H32:L32))</f>
        <v/>
      </c>
    </row>
    <row r="33">
      <c r="A33" s="7" t="str">
        <f>Secenekler!A16</f>
        <v>asgari-iscilik-c</v>
      </c>
      <c r="B33" s="7" t="str">
        <f>Secenekler!C16</f>
        <v>Asgari işçilik hesap ve dosya kontrol raporu (uzman teyitli)</v>
      </c>
      <c r="C33" s="8">
        <f>IF(Hesap!D16="kaldi","",SUMPRODUCT($C$13:$AB$13,Puanlar!C16:AB16)/5)</f>
        <v>58.6</v>
      </c>
      <c r="D33" s="8">
        <f>IF(Hesap!D16="kaldi","",SUMPRODUCT($C$14:$AB$14,Puanlar!C16:AB16)/5)</f>
        <v>58.33831168831168</v>
      </c>
      <c r="E33" s="8">
        <f>IF(Hesap!D16="kaldi","",SUMPRODUCT($C$15:$AB$15,Puanlar!C16:AB16)/5)</f>
        <v>59.18831168831169</v>
      </c>
      <c r="F33" s="8">
        <f>IF(Hesap!D16="kaldi","",SUMPRODUCT($C$16:$AB$16,Puanlar!C16:AB16)/5)</f>
        <v>58.80131168831169</v>
      </c>
      <c r="G33" s="8">
        <f>IF(Hesap!D16="kaldi","",SUMPRODUCT($C$17:$AB$17,Puanlar!C16:AB16)/5)</f>
        <v>57.36013636363636</v>
      </c>
      <c r="H33" s="5">
        <f>IF(C33="","",1+COUNTIF($C$22:$C$153,"&gt;"&amp;C33))</f>
        <v>4</v>
      </c>
      <c r="I33" s="5">
        <f>IF(D33="","",1+COUNTIF($D$22:$D$153,"&gt;"&amp;D33))</f>
        <v>2</v>
      </c>
      <c r="J33" s="5">
        <f>IF(E33="","",1+COUNTIF($E$22:$E$153,"&gt;"&amp;E33))</f>
        <v>2</v>
      </c>
      <c r="K33" s="5">
        <f>IF(F33="","",1+COUNTIF($F$22:$F$153,"&gt;"&amp;F33))</f>
        <v>11</v>
      </c>
      <c r="L33" s="5">
        <f>IF(G33="","",1+COUNTIF($G$22:$G$153,"&gt;"&amp;G33))</f>
        <v>13</v>
      </c>
      <c r="M33" s="5">
        <f>IF(H33="","",MIN(H33:L33))</f>
        <v>2</v>
      </c>
      <c r="N33" s="5">
        <f>IF(H33="","",MAX(H33:L33))</f>
        <v>13</v>
      </c>
    </row>
    <row r="34">
      <c r="A34" s="7" t="str">
        <f>Secenekler!A17</f>
        <v>zincir-danismanligi-a</v>
      </c>
      <c r="B34" s="7" t="str">
        <f>Secenekler!C17</f>
        <v>90 günlük dijital satış sistemi paketi (çok şubeli zincir)</v>
      </c>
      <c r="C34" s="8">
        <f>IF(Hesap!D17="kaldi","",SUMPRODUCT($C$13:$AB$13,Puanlar!C17:AB17)/5)</f>
        <v>52.4</v>
      </c>
      <c r="D34" s="8">
        <f>IF(Hesap!D17="kaldi","",SUMPRODUCT($C$14:$AB$14,Puanlar!C17:AB17)/5)</f>
        <v>54.08896103896105</v>
      </c>
      <c r="E34" s="8">
        <f>IF(Hesap!D17="kaldi","",SUMPRODUCT($C$15:$AB$15,Puanlar!C17:AB17)/5)</f>
        <v>55.33896103896105</v>
      </c>
      <c r="F34" s="8">
        <f>IF(Hesap!D17="kaldi","",SUMPRODUCT($C$16:$AB$16,Puanlar!C17:AB17)/5)</f>
        <v>51.36396103896104</v>
      </c>
      <c r="G34" s="8">
        <f>IF(Hesap!D17="kaldi","",SUMPRODUCT($C$17:$AB$17,Puanlar!C17:AB17)/5)</f>
        <v>56.46991212121212</v>
      </c>
      <c r="H34" s="5">
        <f>IF(C34="","",1+COUNTIF($C$22:$C$153,"&gt;"&amp;C34))</f>
        <v>43</v>
      </c>
      <c r="I34" s="5">
        <f>IF(D34="","",1+COUNTIF($D$22:$D$153,"&gt;"&amp;D34))</f>
        <v>21</v>
      </c>
      <c r="J34" s="5">
        <f>IF(E34="","",1+COUNTIF($E$22:$E$153,"&gt;"&amp;E34))</f>
        <v>16</v>
      </c>
      <c r="K34" s="5">
        <f>IF(F34="","",1+COUNTIF($F$22:$F$153,"&gt;"&amp;F34))</f>
        <v>56</v>
      </c>
      <c r="L34" s="5">
        <f>IF(G34="","",1+COUNTIF($G$22:$G$153,"&gt;"&amp;G34))</f>
        <v>22</v>
      </c>
      <c r="M34" s="5">
        <f>IF(H34="","",MIN(H34:L34))</f>
        <v>16</v>
      </c>
      <c r="N34" s="5">
        <f>IF(H34="","",MAX(H34:L34))</f>
        <v>56</v>
      </c>
    </row>
    <row r="35">
      <c r="A35" s="7" t="str">
        <f>Secenekler!A18</f>
        <v>zincir-danismanligi-b</v>
      </c>
      <c r="B35" s="7" t="str">
        <f>Secenekler!C18</f>
        <v>Kahve zinciri dijital denetim raporu (2 hafta)</v>
      </c>
      <c r="C35" s="8">
        <f>IF(Hesap!D18="kaldi","",SUMPRODUCT($C$13:$AB$13,Puanlar!C18:AB18)/5)</f>
        <v>50</v>
      </c>
      <c r="D35" s="8">
        <f>IF(Hesap!D18="kaldi","",SUMPRODUCT($C$14:$AB$14,Puanlar!C18:AB18)/5)</f>
        <v>49.84805194805195</v>
      </c>
      <c r="E35" s="8">
        <f>IF(Hesap!D18="kaldi","",SUMPRODUCT($C$15:$AB$15,Puanlar!C18:AB18)/5)</f>
        <v>49.04805194805195</v>
      </c>
      <c r="F35" s="8">
        <f>IF(Hesap!D18="kaldi","",SUMPRODUCT($C$16:$AB$16,Puanlar!C18:AB18)/5)</f>
        <v>49.38405194805195</v>
      </c>
      <c r="G35" s="8">
        <f>IF(Hesap!D18="kaldi","",SUMPRODUCT($C$17:$AB$17,Puanlar!C18:AB18)/5)</f>
        <v>52.94850606060606</v>
      </c>
      <c r="H35" s="5">
        <f>IF(C35="","",1+COUNTIF($C$22:$C$153,"&gt;"&amp;C35))</f>
        <v>61</v>
      </c>
      <c r="I35" s="5">
        <f>IF(D35="","",1+COUNTIF($D$22:$D$153,"&gt;"&amp;D35))</f>
        <v>58</v>
      </c>
      <c r="J35" s="5">
        <f>IF(E35="","",1+COUNTIF($E$22:$E$153,"&gt;"&amp;E35))</f>
        <v>58</v>
      </c>
      <c r="K35" s="5">
        <f>IF(F35="","",1+COUNTIF($F$22:$F$153,"&gt;"&amp;F35))</f>
        <v>66</v>
      </c>
      <c r="L35" s="5">
        <f>IF(G35="","",1+COUNTIF($G$22:$G$153,"&gt;"&amp;G35))</f>
        <v>45</v>
      </c>
      <c r="M35" s="5">
        <f>IF(H35="","",MIN(H35:L35))</f>
        <v>45</v>
      </c>
      <c r="N35" s="5">
        <f>IF(H35="","",MAX(H35:L35))</f>
        <v>66</v>
      </c>
    </row>
    <row r="36">
      <c r="A36" s="7" t="str">
        <f>Secenekler!A19</f>
        <v>zincir-danismanligi-c</v>
      </c>
      <c r="B36" s="7" t="str">
        <f>Secenekler!C19</f>
        <v>Merkezden yönetilen şube QR menüsü (Zabuno zincir planı)</v>
      </c>
      <c r="C36" s="8">
        <f>IF(Hesap!D19="kaldi","",SUMPRODUCT($C$13:$AB$13,Puanlar!C19:AB19)/5)</f>
        <v>46.2</v>
      </c>
      <c r="D36" s="8">
        <f>IF(Hesap!D19="kaldi","",SUMPRODUCT($C$14:$AB$14,Puanlar!C19:AB19)/5)</f>
        <v>46.80064935064935</v>
      </c>
      <c r="E36" s="8">
        <f>IF(Hesap!D19="kaldi","",SUMPRODUCT($C$15:$AB$15,Puanlar!C19:AB19)/5)</f>
        <v>46.83064935064935</v>
      </c>
      <c r="F36" s="8">
        <f>IF(Hesap!D19="kaldi","",SUMPRODUCT($C$16:$AB$16,Puanlar!C19:AB19)/5)</f>
        <v>42.33604935064935</v>
      </c>
      <c r="G36" s="8">
        <f>IF(Hesap!D19="kaldi","",SUMPRODUCT($C$17:$AB$17,Puanlar!C19:AB19)/5)</f>
        <v>48.6556290909091</v>
      </c>
      <c r="H36" s="5">
        <f>IF(C36="","",1+COUNTIF($C$22:$C$153,"&gt;"&amp;C36))</f>
        <v>82</v>
      </c>
      <c r="I36" s="5">
        <f>IF(D36="","",1+COUNTIF($D$22:$D$153,"&gt;"&amp;D36))</f>
        <v>76</v>
      </c>
      <c r="J36" s="5">
        <f>IF(E36="","",1+COUNTIF($E$22:$E$153,"&gt;"&amp;E36))</f>
        <v>71</v>
      </c>
      <c r="K36" s="5">
        <f>IF(F36="","",1+COUNTIF($F$22:$F$153,"&gt;"&amp;F36))</f>
        <v>100</v>
      </c>
      <c r="L36" s="5">
        <f>IF(G36="","",1+COUNTIF($G$22:$G$153,"&gt;"&amp;G36))</f>
        <v>81</v>
      </c>
      <c r="M36" s="5">
        <f>IF(H36="","",MIN(H36:L36))</f>
        <v>71</v>
      </c>
      <c r="N36" s="5">
        <f>IF(H36="","",MAX(H36:L36))</f>
        <v>100</v>
      </c>
    </row>
    <row r="37">
      <c r="A37" s="7" t="str">
        <f>Secenekler!A20</f>
        <v>kar-pusulasi-a</v>
      </c>
      <c r="B37" s="7" t="str">
        <f>Secenekler!C20</f>
        <v>Pro yıllık ve Kurucu Paketi (satıcıya yazılım)</v>
      </c>
      <c r="C37" s="8">
        <f>IF(Hesap!D20="kaldi","",SUMPRODUCT($C$13:$AB$13,Puanlar!C20:AB20)/5)</f>
        <v>59.6</v>
      </c>
      <c r="D37" s="8">
        <f>IF(Hesap!D20="kaldi","",SUMPRODUCT($C$14:$AB$14,Puanlar!C20:AB20)/5)</f>
        <v>57.90259740259741</v>
      </c>
      <c r="E37" s="8">
        <f>IF(Hesap!D20="kaldi","",SUMPRODUCT($C$15:$AB$15,Puanlar!C20:AB20)/5)</f>
        <v>57.0225974025974</v>
      </c>
      <c r="F37" s="8">
        <f>IF(Hesap!D20="kaldi","",SUMPRODUCT($C$16:$AB$16,Puanlar!C20:AB20)/5)</f>
        <v>61.8741974025974</v>
      </c>
      <c r="G37" s="8">
        <f>IF(Hesap!D20="kaldi","",SUMPRODUCT($C$17:$AB$17,Puanlar!C20:AB20)/5)</f>
        <v>58.33748303030303</v>
      </c>
      <c r="H37" s="5">
        <f>IF(C37="","",1+COUNTIF($C$22:$C$153,"&gt;"&amp;C37))</f>
        <v>3</v>
      </c>
      <c r="I37" s="5">
        <f>IF(D37="","",1+COUNTIF($D$22:$D$153,"&gt;"&amp;D37))</f>
        <v>5</v>
      </c>
      <c r="J37" s="5">
        <f>IF(E37="","",1+COUNTIF($E$22:$E$153,"&gt;"&amp;E37))</f>
        <v>7</v>
      </c>
      <c r="K37" s="5">
        <f>IF(F37="","",1+COUNTIF($F$22:$F$153,"&gt;"&amp;F37))</f>
        <v>3</v>
      </c>
      <c r="L37" s="5">
        <f>IF(G37="","",1+COUNTIF($G$22:$G$153,"&gt;"&amp;G37))</f>
        <v>8</v>
      </c>
      <c r="M37" s="5">
        <f>IF(H37="","",MIN(H37:L37))</f>
        <v>3</v>
      </c>
      <c r="N37" s="5">
        <f>IF(H37="","",MAX(H37:L37))</f>
        <v>8</v>
      </c>
    </row>
    <row r="38">
      <c r="A38" s="7" t="str">
        <f>Secenekler!A21</f>
        <v>kar-pusulasi-b</v>
      </c>
      <c r="B38" s="7" t="str">
        <f>Secenekler!C21</f>
        <v>Danışman ve ajans paneli (aylık abonelik)</v>
      </c>
      <c r="C38" s="8" t="str">
        <f>IF(Hesap!D21="kaldi","",SUMPRODUCT($C$13:$AB$13,Puanlar!C21:AB21)/5)</f>
        <v/>
      </c>
      <c r="D38" s="8" t="str">
        <f>IF(Hesap!D21="kaldi","",SUMPRODUCT($C$14:$AB$14,Puanlar!C21:AB21)/5)</f>
        <v/>
      </c>
      <c r="E38" s="8" t="str">
        <f>IF(Hesap!D21="kaldi","",SUMPRODUCT($C$15:$AB$15,Puanlar!C21:AB21)/5)</f>
        <v/>
      </c>
      <c r="F38" s="8" t="str">
        <f>IF(Hesap!D21="kaldi","",SUMPRODUCT($C$16:$AB$16,Puanlar!C21:AB21)/5)</f>
        <v/>
      </c>
      <c r="G38" s="8" t="str">
        <f>IF(Hesap!D21="kaldi","",SUMPRODUCT($C$17:$AB$17,Puanlar!C21:AB21)/5)</f>
        <v/>
      </c>
      <c r="H38" s="5" t="str">
        <f>IF(C38="","",1+COUNTIF($C$22:$C$153,"&gt;"&amp;C38))</f>
        <v/>
      </c>
      <c r="I38" s="5" t="str">
        <f>IF(D38="","",1+COUNTIF($D$22:$D$153,"&gt;"&amp;D38))</f>
        <v/>
      </c>
      <c r="J38" s="5" t="str">
        <f>IF(E38="","",1+COUNTIF($E$22:$E$153,"&gt;"&amp;E38))</f>
        <v/>
      </c>
      <c r="K38" s="5" t="str">
        <f>IF(F38="","",1+COUNTIF($F$22:$F$153,"&gt;"&amp;F38))</f>
        <v/>
      </c>
      <c r="L38" s="5" t="str">
        <f>IF(G38="","",1+COUNTIF($G$22:$G$153,"&gt;"&amp;G38))</f>
        <v/>
      </c>
      <c r="M38" s="5" t="str">
        <f>IF(H38="","",MIN(H38:L38))</f>
        <v/>
      </c>
      <c r="N38" s="5" t="str">
        <f>IF(H38="","",MAX(H38:L38))</f>
        <v/>
      </c>
    </row>
    <row r="39">
      <c r="A39" s="7" t="str">
        <f>Secenekler!A22</f>
        <v>kar-pusulasi-c</v>
      </c>
      <c r="B39" s="7" t="str">
        <f>Secenekler!C22</f>
        <v>SKU katkı raporu (sabit fiyatlı hizmet)</v>
      </c>
      <c r="C39" s="8">
        <f>IF(Hesap!D22="kaldi","",SUMPRODUCT($C$13:$AB$13,Puanlar!C22:AB22)/5)</f>
        <v>54</v>
      </c>
      <c r="D39" s="8">
        <f>IF(Hesap!D22="kaldi","",SUMPRODUCT($C$14:$AB$14,Puanlar!C22:AB22)/5)</f>
        <v>53.20259740259739</v>
      </c>
      <c r="E39" s="8">
        <f>IF(Hesap!D22="kaldi","",SUMPRODUCT($C$15:$AB$15,Puanlar!C22:AB22)/5)</f>
        <v>53.0825974025974</v>
      </c>
      <c r="F39" s="8">
        <f>IF(Hesap!D22="kaldi","",SUMPRODUCT($C$16:$AB$16,Puanlar!C22:AB22)/5)</f>
        <v>55.43099740259741</v>
      </c>
      <c r="G39" s="8">
        <f>IF(Hesap!D22="kaldi","",SUMPRODUCT($C$17:$AB$17,Puanlar!C22:AB22)/5)</f>
        <v>52.81615636363638</v>
      </c>
      <c r="H39" s="5">
        <f>IF(C39="","",1+COUNTIF($C$22:$C$153,"&gt;"&amp;C39))</f>
        <v>31</v>
      </c>
      <c r="I39" s="5">
        <f>IF(D39="","",1+COUNTIF($D$22:$D$153,"&gt;"&amp;D39))</f>
        <v>29</v>
      </c>
      <c r="J39" s="5">
        <f>IF(E39="","",1+COUNTIF($E$22:$E$153,"&gt;"&amp;E39))</f>
        <v>22</v>
      </c>
      <c r="K39" s="5">
        <f>IF(F39="","",1+COUNTIF($F$22:$F$153,"&gt;"&amp;F39))</f>
        <v>32</v>
      </c>
      <c r="L39" s="5">
        <f>IF(G39="","",1+COUNTIF($G$22:$G$153,"&gt;"&amp;G39))</f>
        <v>47</v>
      </c>
      <c r="M39" s="5">
        <f>IF(H39="","",MIN(H39:L39))</f>
        <v>22</v>
      </c>
      <c r="N39" s="5">
        <f>IF(H39="","",MAX(H39:L39))</f>
        <v>47</v>
      </c>
    </row>
    <row r="40">
      <c r="A40" s="7" t="str">
        <f>Secenekler!A23</f>
        <v>titanlar-a</v>
      </c>
      <c r="B40" s="7" t="str">
        <f>Secenekler!C23</f>
        <v>Titan Programı: 10 haftalık canlı kohort</v>
      </c>
      <c r="C40" s="8">
        <f>IF(Hesap!D23="kaldi","",SUMPRODUCT($C$13:$AB$13,Puanlar!C23:AB23)/5)</f>
        <v>58.6</v>
      </c>
      <c r="D40" s="8">
        <f>IF(Hesap!D23="kaldi","",SUMPRODUCT($C$14:$AB$14,Puanlar!C23:AB23)/5)</f>
        <v>58.04740259740259</v>
      </c>
      <c r="E40" s="8">
        <f>IF(Hesap!D23="kaldi","",SUMPRODUCT($C$15:$AB$15,Puanlar!C23:AB23)/5)</f>
        <v>58.65740259740259</v>
      </c>
      <c r="F40" s="8">
        <f>IF(Hesap!D23="kaldi","",SUMPRODUCT($C$16:$AB$16,Puanlar!C23:AB23)/5)</f>
        <v>59.7872025974026</v>
      </c>
      <c r="G40" s="8">
        <f>IF(Hesap!D23="kaldi","",SUMPRODUCT($C$17:$AB$17,Puanlar!C23:AB23)/5)</f>
        <v>56.20637030303031</v>
      </c>
      <c r="H40" s="5">
        <f>IF(C40="","",1+COUNTIF($C$22:$C$153,"&gt;"&amp;C40))</f>
        <v>4</v>
      </c>
      <c r="I40" s="5">
        <f>IF(D40="","",1+COUNTIF($D$22:$D$153,"&gt;"&amp;D40))</f>
        <v>3</v>
      </c>
      <c r="J40" s="5">
        <f>IF(E40="","",1+COUNTIF($E$22:$E$153,"&gt;"&amp;E40))</f>
        <v>3</v>
      </c>
      <c r="K40" s="5">
        <f>IF(F40="","",1+COUNTIF($F$22:$F$153,"&gt;"&amp;F40))</f>
        <v>6</v>
      </c>
      <c r="L40" s="5">
        <f>IF(G40="","",1+COUNTIF($G$22:$G$153,"&gt;"&amp;G40))</f>
        <v>24</v>
      </c>
      <c r="M40" s="5">
        <f>IF(H40="","",MIN(H40:L40))</f>
        <v>3</v>
      </c>
      <c r="N40" s="5">
        <f>IF(H40="","",MAX(H40:L40))</f>
        <v>24</v>
      </c>
    </row>
    <row r="41">
      <c r="A41" s="7" t="str">
        <f>Secenekler!A24</f>
        <v>titanlar-b</v>
      </c>
      <c r="B41" s="7" t="str">
        <f>Secenekler!C24</f>
        <v>Kâr teşhisi: Giriş ve Strateji danışmanlığı</v>
      </c>
      <c r="C41" s="8">
        <f>IF(Hesap!D24="kaldi","",SUMPRODUCT($C$13:$AB$13,Puanlar!C24:AB24)/5)</f>
        <v>62</v>
      </c>
      <c r="D41" s="8">
        <f>IF(Hesap!D24="kaldi","",SUMPRODUCT($C$14:$AB$14,Puanlar!C24:AB24)/5)</f>
        <v>61.6090909090909</v>
      </c>
      <c r="E41" s="8">
        <f>IF(Hesap!D24="kaldi","",SUMPRODUCT($C$15:$AB$15,Puanlar!C24:AB24)/5)</f>
        <v>62.16909090909091</v>
      </c>
      <c r="F41" s="8">
        <f>IF(Hesap!D24="kaldi","",SUMPRODUCT($C$16:$AB$16,Puanlar!C24:AB24)/5)</f>
        <v>63.5898909090909</v>
      </c>
      <c r="G41" s="8">
        <f>IF(Hesap!D24="kaldi","",SUMPRODUCT($C$17:$AB$17,Puanlar!C24:AB24)/5)</f>
        <v>61.45786727272728</v>
      </c>
      <c r="H41" s="5">
        <f>IF(C41="","",1+COUNTIF($C$22:$C$153,"&gt;"&amp;C41))</f>
        <v>1</v>
      </c>
      <c r="I41" s="5">
        <f>IF(D41="","",1+COUNTIF($D$22:$D$153,"&gt;"&amp;D41))</f>
        <v>1</v>
      </c>
      <c r="J41" s="5">
        <f>IF(E41="","",1+COUNTIF($E$22:$E$153,"&gt;"&amp;E41))</f>
        <v>1</v>
      </c>
      <c r="K41" s="5">
        <f>IF(F41="","",1+COUNTIF($F$22:$F$153,"&gt;"&amp;F41))</f>
        <v>1</v>
      </c>
      <c r="L41" s="5">
        <f>IF(G41="","",1+COUNTIF($G$22:$G$153,"&gt;"&amp;G41))</f>
        <v>1</v>
      </c>
      <c r="M41" s="5">
        <f>IF(H41="","",MIN(H41:L41))</f>
        <v>1</v>
      </c>
      <c r="N41" s="5">
        <f>IF(H41="","",MAX(H41:L41))</f>
        <v>1</v>
      </c>
    </row>
    <row r="42">
      <c r="A42" s="7" t="str">
        <f>Secenekler!A25</f>
        <v>titanlar-c</v>
      </c>
      <c r="B42" s="7" t="str">
        <f>Secenekler!C25</f>
        <v>Kurumsal atölye: oda, belediye ve üretici KOBİ</v>
      </c>
      <c r="C42" s="8" t="str">
        <f>IF(Hesap!D25="kaldi","",SUMPRODUCT($C$13:$AB$13,Puanlar!C25:AB25)/5)</f>
        <v/>
      </c>
      <c r="D42" s="8" t="str">
        <f>IF(Hesap!D25="kaldi","",SUMPRODUCT($C$14:$AB$14,Puanlar!C25:AB25)/5)</f>
        <v/>
      </c>
      <c r="E42" s="8" t="str">
        <f>IF(Hesap!D25="kaldi","",SUMPRODUCT($C$15:$AB$15,Puanlar!C25:AB25)/5)</f>
        <v/>
      </c>
      <c r="F42" s="8" t="str">
        <f>IF(Hesap!D25="kaldi","",SUMPRODUCT($C$16:$AB$16,Puanlar!C25:AB25)/5)</f>
        <v/>
      </c>
      <c r="G42" s="8" t="str">
        <f>IF(Hesap!D25="kaldi","",SUMPRODUCT($C$17:$AB$17,Puanlar!C25:AB25)/5)</f>
        <v/>
      </c>
      <c r="H42" s="5" t="str">
        <f>IF(C42="","",1+COUNTIF($C$22:$C$153,"&gt;"&amp;C42))</f>
        <v/>
      </c>
      <c r="I42" s="5" t="str">
        <f>IF(D42="","",1+COUNTIF($D$22:$D$153,"&gt;"&amp;D42))</f>
        <v/>
      </c>
      <c r="J42" s="5" t="str">
        <f>IF(E42="","",1+COUNTIF($E$22:$E$153,"&gt;"&amp;E42))</f>
        <v/>
      </c>
      <c r="K42" s="5" t="str">
        <f>IF(F42="","",1+COUNTIF($F$22:$F$153,"&gt;"&amp;F42))</f>
        <v/>
      </c>
      <c r="L42" s="5" t="str">
        <f>IF(G42="","",1+COUNTIF($G$22:$G$153,"&gt;"&amp;G42))</f>
        <v/>
      </c>
      <c r="M42" s="5" t="str">
        <f>IF(H42="","",MIN(H42:L42))</f>
        <v/>
      </c>
      <c r="N42" s="5" t="str">
        <f>IF(H42="","",MAX(H42:L42))</f>
        <v/>
      </c>
    </row>
    <row r="43">
      <c r="A43" s="7" t="str">
        <f>Secenekler!A26</f>
        <v>kurumsal-site-a</v>
      </c>
      <c r="B43" s="7" t="str">
        <f>Secenekler!C26</f>
        <v>İhracat paketi: sabit kapsamlı 3 dilli üretici sitesi</v>
      </c>
      <c r="C43" s="8">
        <f>IF(Hesap!D26="kaldi","",SUMPRODUCT($C$13:$AB$13,Puanlar!C26:AB26)/5)</f>
        <v>56.2</v>
      </c>
      <c r="D43" s="8">
        <f>IF(Hesap!D26="kaldi","",SUMPRODUCT($C$14:$AB$14,Puanlar!C26:AB26)/5)</f>
        <v>56.88636363636363</v>
      </c>
      <c r="E43" s="8">
        <f>IF(Hesap!D26="kaldi","",SUMPRODUCT($C$15:$AB$15,Puanlar!C26:AB26)/5)</f>
        <v>57.13636363636364</v>
      </c>
      <c r="F43" s="8">
        <f>IF(Hesap!D26="kaldi","",SUMPRODUCT($C$16:$AB$16,Puanlar!C26:AB26)/5)</f>
        <v>54.60136363636364</v>
      </c>
      <c r="G43" s="8">
        <f>IF(Hesap!D26="kaldi","",SUMPRODUCT($C$17:$AB$17,Puanlar!C26:AB26)/5)</f>
        <v>58.58607575757577</v>
      </c>
      <c r="H43" s="5">
        <f>IF(C43="","",1+COUNTIF($C$22:$C$153,"&gt;"&amp;C43))</f>
        <v>16</v>
      </c>
      <c r="I43" s="5">
        <f>IF(D43="","",1+COUNTIF($D$22:$D$153,"&gt;"&amp;D43))</f>
        <v>10</v>
      </c>
      <c r="J43" s="5">
        <f>IF(E43="","",1+COUNTIF($E$22:$E$153,"&gt;"&amp;E43))</f>
        <v>6</v>
      </c>
      <c r="K43" s="5">
        <f>IF(F43="","",1+COUNTIF($F$22:$F$153,"&gt;"&amp;F43))</f>
        <v>37</v>
      </c>
      <c r="L43" s="5">
        <f>IF(G43="","",1+COUNTIF($G$22:$G$153,"&gt;"&amp;G43))</f>
        <v>6</v>
      </c>
      <c r="M43" s="5">
        <f>IF(H43="","",MIN(H43:L43))</f>
        <v>6</v>
      </c>
      <c r="N43" s="5">
        <f>IF(H43="","",MAX(H43:L43))</f>
        <v>37</v>
      </c>
    </row>
    <row r="44">
      <c r="A44" s="7" t="str">
        <f>Secenekler!A27</f>
        <v>kurumsal-site-b</v>
      </c>
      <c r="B44" s="7" t="str">
        <f>Secenekler!C27</f>
        <v>Vitrin paketi: 2 dilli giriş sitesi (45.000 ₺)</v>
      </c>
      <c r="C44" s="8">
        <f>IF(Hesap!D27="kaldi","",SUMPRODUCT($C$13:$AB$13,Puanlar!C27:AB27)/5)</f>
        <v>50.6</v>
      </c>
      <c r="D44" s="8">
        <f>IF(Hesap!D27="kaldi","",SUMPRODUCT($C$14:$AB$14,Puanlar!C27:AB27)/5)</f>
        <v>50.50714285714285</v>
      </c>
      <c r="E44" s="8">
        <f>IF(Hesap!D27="kaldi","",SUMPRODUCT($C$15:$AB$15,Puanlar!C27:AB27)/5)</f>
        <v>50.11714285714286</v>
      </c>
      <c r="F44" s="8">
        <f>IF(Hesap!D27="kaldi","",SUMPRODUCT($C$16:$AB$16,Puanlar!C27:AB27)/5)</f>
        <v>50.28694285714285</v>
      </c>
      <c r="G44" s="8">
        <f>IF(Hesap!D27="kaldi","",SUMPRODUCT($C$17:$AB$17,Puanlar!C27:AB27)/5)</f>
        <v>52.96214000000001</v>
      </c>
      <c r="H44" s="5">
        <f>IF(C44="","",1+COUNTIF($C$22:$C$153,"&gt;"&amp;C44))</f>
        <v>58</v>
      </c>
      <c r="I44" s="5">
        <f>IF(D44="","",1+COUNTIF($D$22:$D$153,"&gt;"&amp;D44))</f>
        <v>50</v>
      </c>
      <c r="J44" s="5">
        <f>IF(E44="","",1+COUNTIF($E$22:$E$153,"&gt;"&amp;E44))</f>
        <v>44</v>
      </c>
      <c r="K44" s="5">
        <f>IF(F44="","",1+COUNTIF($F$22:$F$153,"&gt;"&amp;F44))</f>
        <v>62</v>
      </c>
      <c r="L44" s="5">
        <f>IF(G44="","",1+COUNTIF($G$22:$G$153,"&gt;"&amp;G44))</f>
        <v>44</v>
      </c>
      <c r="M44" s="5">
        <f>IF(H44="","",MIN(H44:L44))</f>
        <v>44</v>
      </c>
      <c r="N44" s="5">
        <f>IF(H44="","",MAX(H44:L44))</f>
        <v>62</v>
      </c>
    </row>
    <row r="45">
      <c r="A45" s="7" t="str">
        <f>Secenekler!A28</f>
        <v>kurumsal-site-c</v>
      </c>
      <c r="B45" s="7" t="str">
        <f>Secenekler!C28</f>
        <v>Markasız Astro sanayi teması (kod satışı)</v>
      </c>
      <c r="C45" s="8">
        <f>IF(Hesap!D28="kaldi","",SUMPRODUCT($C$13:$AB$13,Puanlar!C28:AB28)/5)</f>
        <v>49.2</v>
      </c>
      <c r="D45" s="8">
        <f>IF(Hesap!D28="kaldi","",SUMPRODUCT($C$14:$AB$14,Puanlar!C28:AB28)/5)</f>
        <v>47.68896103896104</v>
      </c>
      <c r="E45" s="8">
        <f>IF(Hesap!D28="kaldi","",SUMPRODUCT($C$15:$AB$15,Puanlar!C28:AB28)/5)</f>
        <v>45.59896103896104</v>
      </c>
      <c r="F45" s="8">
        <f>IF(Hesap!D28="kaldi","",SUMPRODUCT($C$16:$AB$16,Puanlar!C28:AB28)/5)</f>
        <v>51.30276103896104</v>
      </c>
      <c r="G45" s="8">
        <f>IF(Hesap!D28="kaldi","",SUMPRODUCT($C$17:$AB$17,Puanlar!C28:AB28)/5)</f>
        <v>52.7217187878788</v>
      </c>
      <c r="H45" s="5">
        <f>IF(C45="","",1+COUNTIF($C$22:$C$153,"&gt;"&amp;C45))</f>
        <v>65</v>
      </c>
      <c r="I45" s="5">
        <f>IF(D45="","",1+COUNTIF($D$22:$D$153,"&gt;"&amp;D45))</f>
        <v>73</v>
      </c>
      <c r="J45" s="5">
        <f>IF(E45="","",1+COUNTIF($E$22:$E$153,"&gt;"&amp;E45))</f>
        <v>82</v>
      </c>
      <c r="K45" s="5">
        <f>IF(F45="","",1+COUNTIF($F$22:$F$153,"&gt;"&amp;F45))</f>
        <v>58</v>
      </c>
      <c r="L45" s="5">
        <f>IF(G45="","",1+COUNTIF($G$22:$G$153,"&gt;"&amp;G45))</f>
        <v>48</v>
      </c>
      <c r="M45" s="5">
        <f>IF(H45="","",MIN(H45:L45))</f>
        <v>48</v>
      </c>
      <c r="N45" s="5">
        <f>IF(H45="","",MAX(H45:L45))</f>
        <v>82</v>
      </c>
    </row>
    <row r="46">
      <c r="A46" s="7" t="str">
        <f>Secenekler!A29</f>
        <v>uretici-kobi-paketi-a</v>
      </c>
      <c r="B46" s="7" t="str">
        <f>Secenekler!C29</f>
        <v>Başlangıç paketi: fizibilite, vitrin site, açılış planı</v>
      </c>
      <c r="C46" s="8">
        <f>IF(Hesap!D29="kaldi","",SUMPRODUCT($C$13:$AB$13,Puanlar!C29:AB29)/5)</f>
        <v>52.6</v>
      </c>
      <c r="D46" s="8">
        <f>IF(Hesap!D29="kaldi","",SUMPRODUCT($C$14:$AB$14,Puanlar!C29:AB29)/5)</f>
        <v>54.06623376623376</v>
      </c>
      <c r="E46" s="8">
        <f>IF(Hesap!D29="kaldi","",SUMPRODUCT($C$15:$AB$15,Puanlar!C29:AB29)/5)</f>
        <v>54.94623376623376</v>
      </c>
      <c r="F46" s="8">
        <f>IF(Hesap!D29="kaldi","",SUMPRODUCT($C$16:$AB$16,Puanlar!C29:AB29)/5)</f>
        <v>51.67463376623376</v>
      </c>
      <c r="G46" s="8">
        <f>IF(Hesap!D29="kaldi","",SUMPRODUCT($C$17:$AB$17,Puanlar!C29:AB29)/5)</f>
        <v>55.61974727272728</v>
      </c>
      <c r="H46" s="5">
        <f>IF(C46="","",1+COUNTIF($C$22:$C$153,"&gt;"&amp;C46))</f>
        <v>39</v>
      </c>
      <c r="I46" s="5">
        <f>IF(D46="","",1+COUNTIF($D$22:$D$153,"&gt;"&amp;D46))</f>
        <v>22</v>
      </c>
      <c r="J46" s="5">
        <f>IF(E46="","",1+COUNTIF($E$22:$E$153,"&gt;"&amp;E46))</f>
        <v>18</v>
      </c>
      <c r="K46" s="5">
        <f>IF(F46="","",1+COUNTIF($F$22:$F$153,"&gt;"&amp;F46))</f>
        <v>52</v>
      </c>
      <c r="L46" s="5">
        <f>IF(G46="","",1+COUNTIF($G$22:$G$153,"&gt;"&amp;G46))</f>
        <v>29</v>
      </c>
      <c r="M46" s="5">
        <f>IF(H46="","",MIN(H46:L46))</f>
        <v>18</v>
      </c>
      <c r="N46" s="5">
        <f>IF(H46="","",MAX(H46:L46))</f>
        <v>52</v>
      </c>
    </row>
    <row r="47">
      <c r="A47" s="7" t="str">
        <f>Secenekler!A30</f>
        <v>uretici-kobi-paketi-b</v>
      </c>
      <c r="B47" s="7" t="str">
        <f>Secenekler!C30</f>
        <v>Fizibilite paketi: rakip analizi, kârlılık modeli, simülatör</v>
      </c>
      <c r="C47" s="8">
        <f>IF(Hesap!D30="kaldi","",SUMPRODUCT($C$13:$AB$13,Puanlar!C30:AB30)/5)</f>
        <v>57</v>
      </c>
      <c r="D47" s="8">
        <f>IF(Hesap!D30="kaldi","",SUMPRODUCT($C$14:$AB$14,Puanlar!C30:AB30)/5)</f>
        <v>57.48896103896104</v>
      </c>
      <c r="E47" s="8">
        <f>IF(Hesap!D30="kaldi","",SUMPRODUCT($C$15:$AB$15,Puanlar!C30:AB30)/5)</f>
        <v>57.69896103896103</v>
      </c>
      <c r="F47" s="8">
        <f>IF(Hesap!D30="kaldi","",SUMPRODUCT($C$16:$AB$16,Puanlar!C30:AB30)/5)</f>
        <v>57.85676103896103</v>
      </c>
      <c r="G47" s="8">
        <f>IF(Hesap!D30="kaldi","",SUMPRODUCT($C$17:$AB$17,Puanlar!C30:AB30)/5)</f>
        <v>59.44628545454547</v>
      </c>
      <c r="H47" s="5">
        <f>IF(C47="","",1+COUNTIF($C$22:$C$153,"&gt;"&amp;C47))</f>
        <v>8</v>
      </c>
      <c r="I47" s="5">
        <f>IF(D47="","",1+COUNTIF($D$22:$D$153,"&gt;"&amp;D47))</f>
        <v>8</v>
      </c>
      <c r="J47" s="5">
        <f>IF(E47="","",1+COUNTIF($E$22:$E$153,"&gt;"&amp;E47))</f>
        <v>5</v>
      </c>
      <c r="K47" s="5">
        <f>IF(F47="","",1+COUNTIF($F$22:$F$153,"&gt;"&amp;F47))</f>
        <v>18</v>
      </c>
      <c r="L47" s="5">
        <f>IF(G47="","",1+COUNTIF($G$22:$G$153,"&gt;"&amp;G47))</f>
        <v>3</v>
      </c>
      <c r="M47" s="5">
        <f>IF(H47="","",MIN(H47:L47))</f>
        <v>3</v>
      </c>
      <c r="N47" s="5">
        <f>IF(H47="","",MAX(H47:L47))</f>
        <v>18</v>
      </c>
    </row>
    <row r="48">
      <c r="A48" s="7" t="str">
        <f>Secenekler!A31</f>
        <v>uretici-kobi-paketi-c</v>
      </c>
      <c r="B48" s="7" t="str">
        <f>Secenekler!C31</f>
        <v>Katalog ve teklif formu sitesi (kumaş üreticisi)</v>
      </c>
      <c r="C48" s="8">
        <f>IF(Hesap!D31="kaldi","",SUMPRODUCT($C$13:$AB$13,Puanlar!C31:AB31)/5)</f>
        <v>50.8</v>
      </c>
      <c r="D48" s="8">
        <f>IF(Hesap!D31="kaldi","",SUMPRODUCT($C$14:$AB$14,Puanlar!C31:AB31)/5)</f>
        <v>50.8435064935065</v>
      </c>
      <c r="E48" s="8">
        <f>IF(Hesap!D31="kaldi","",SUMPRODUCT($C$15:$AB$15,Puanlar!C31:AB31)/5)</f>
        <v>50.7335064935065</v>
      </c>
      <c r="F48" s="8">
        <f>IF(Hesap!D31="kaldi","",SUMPRODUCT($C$16:$AB$16,Puanlar!C31:AB31)/5)</f>
        <v>49.85370649350649</v>
      </c>
      <c r="G48" s="8">
        <f>IF(Hesap!D31="kaldi","",SUMPRODUCT($C$17:$AB$17,Puanlar!C31:AB31)/5)</f>
        <v>52.09226909090908</v>
      </c>
      <c r="H48" s="5">
        <f>IF(C48="","",1+COUNTIF($C$22:$C$153,"&gt;"&amp;C48))</f>
        <v>54</v>
      </c>
      <c r="I48" s="5">
        <f>IF(D48="","",1+COUNTIF($D$22:$D$153,"&gt;"&amp;D48))</f>
        <v>48</v>
      </c>
      <c r="J48" s="5">
        <f>IF(E48="","",1+COUNTIF($E$22:$E$153,"&gt;"&amp;E48))</f>
        <v>39</v>
      </c>
      <c r="K48" s="5">
        <f>IF(F48="","",1+COUNTIF($F$22:$F$153,"&gt;"&amp;F48))</f>
        <v>64</v>
      </c>
      <c r="L48" s="5">
        <f>IF(G48="","",1+COUNTIF($G$22:$G$153,"&gt;"&amp;G48))</f>
        <v>55</v>
      </c>
      <c r="M48" s="5">
        <f>IF(H48="","",MIN(H48:L48))</f>
        <v>39</v>
      </c>
      <c r="N48" s="5">
        <f>IF(H48="","",MAX(H48:L48))</f>
        <v>64</v>
      </c>
    </row>
    <row r="49">
      <c r="A49" s="7" t="str">
        <f>Secenekler!A32</f>
        <v>wp-nis-eklentiler-a</v>
      </c>
      <c r="B49" s="7" t="str">
        <f>Secenekler!C32</f>
        <v>KVKK Lite Pro: ajans lisansı</v>
      </c>
      <c r="C49" s="8">
        <f>IF(Hesap!D32="kaldi","",SUMPRODUCT($C$13:$AB$13,Puanlar!C32:AB32)/5)</f>
        <v>52</v>
      </c>
      <c r="D49" s="8">
        <f>IF(Hesap!D32="kaldi","",SUMPRODUCT($C$14:$AB$14,Puanlar!C32:AB32)/5)</f>
        <v>52.01818181818182</v>
      </c>
      <c r="E49" s="8">
        <f>IF(Hesap!D32="kaldi","",SUMPRODUCT($C$15:$AB$15,Puanlar!C32:AB32)/5)</f>
        <v>52.01818181818182</v>
      </c>
      <c r="F49" s="8">
        <f>IF(Hesap!D32="kaldi","",SUMPRODUCT($C$16:$AB$16,Puanlar!C32:AB32)/5)</f>
        <v>52.89818181818182</v>
      </c>
      <c r="G49" s="8">
        <f>IF(Hesap!D32="kaldi","",SUMPRODUCT($C$17:$AB$17,Puanlar!C32:AB32)/5)</f>
        <v>53.84725454545455</v>
      </c>
      <c r="H49" s="5">
        <f>IF(C49="","",1+COUNTIF($C$22:$C$153,"&gt;"&amp;C49))</f>
        <v>46</v>
      </c>
      <c r="I49" s="5">
        <f>IF(D49="","",1+COUNTIF($D$22:$D$153,"&gt;"&amp;D49))</f>
        <v>38</v>
      </c>
      <c r="J49" s="5">
        <f>IF(E49="","",1+COUNTIF($E$22:$E$153,"&gt;"&amp;E49))</f>
        <v>30</v>
      </c>
      <c r="K49" s="5">
        <f>IF(F49="","",1+COUNTIF($F$22:$F$153,"&gt;"&amp;F49))</f>
        <v>45</v>
      </c>
      <c r="L49" s="5">
        <f>IF(G49="","",1+COUNTIF($G$22:$G$153,"&gt;"&amp;G49))</f>
        <v>38</v>
      </c>
      <c r="M49" s="5">
        <f>IF(H49="","",MIN(H49:L49))</f>
        <v>30</v>
      </c>
      <c r="N49" s="5">
        <f>IF(H49="","",MAX(H49:L49))</f>
        <v>46</v>
      </c>
    </row>
    <row r="50">
      <c r="A50" s="7" t="str">
        <f>Secenekler!A33</f>
        <v>wp-nis-eklentiler-b</v>
      </c>
      <c r="B50" s="7" t="str">
        <f>Secenekler!C33</f>
        <v>Taksit Tablosu ve Kapıda Ödeme Pro: tek mağaza</v>
      </c>
      <c r="C50" s="8">
        <f>IF(Hesap!D33="kaldi","",SUMPRODUCT($C$13:$AB$13,Puanlar!C33:AB33)/5)</f>
        <v>52</v>
      </c>
      <c r="D50" s="8">
        <f>IF(Hesap!D33="kaldi","",SUMPRODUCT($C$14:$AB$14,Puanlar!C33:AB33)/5)</f>
        <v>51.1025974025974</v>
      </c>
      <c r="E50" s="8">
        <f>IF(Hesap!D33="kaldi","",SUMPRODUCT($C$15:$AB$15,Puanlar!C33:AB33)/5)</f>
        <v>50.40259740259741</v>
      </c>
      <c r="F50" s="8">
        <f>IF(Hesap!D33="kaldi","",SUMPRODUCT($C$16:$AB$16,Puanlar!C33:AB33)/5)</f>
        <v>52.9665974025974</v>
      </c>
      <c r="G50" s="8">
        <f>IF(Hesap!D33="kaldi","",SUMPRODUCT($C$17:$AB$17,Puanlar!C33:AB33)/5)</f>
        <v>52.43730303030303</v>
      </c>
      <c r="H50" s="5">
        <f>IF(C50="","",1+COUNTIF($C$22:$C$153,"&gt;"&amp;C50))</f>
        <v>46</v>
      </c>
      <c r="I50" s="5">
        <f>IF(D50="","",1+COUNTIF($D$22:$D$153,"&gt;"&amp;D50))</f>
        <v>44</v>
      </c>
      <c r="J50" s="5">
        <f>IF(E50="","",1+COUNTIF($E$22:$E$153,"&gt;"&amp;E50))</f>
        <v>41</v>
      </c>
      <c r="K50" s="5">
        <f>IF(F50="","",1+COUNTIF($F$22:$F$153,"&gt;"&amp;F50))</f>
        <v>44</v>
      </c>
      <c r="L50" s="5">
        <f>IF(G50="","",1+COUNTIF($G$22:$G$153,"&gt;"&amp;G50))</f>
        <v>51</v>
      </c>
      <c r="M50" s="5">
        <f>IF(H50="","",MIN(H50:L50))</f>
        <v>41</v>
      </c>
      <c r="N50" s="5">
        <f>IF(H50="","",MAX(H50:L50))</f>
        <v>51</v>
      </c>
    </row>
    <row r="51">
      <c r="A51" s="7" t="str">
        <f>Secenekler!A34</f>
        <v>wp-nis-eklentiler-c</v>
      </c>
      <c r="B51" s="7" t="str">
        <f>Secenekler!C34</f>
        <v>Türkiye uyum kurulumu: sabit fiyatlı hizmet</v>
      </c>
      <c r="C51" s="8">
        <f>IF(Hesap!D34="kaldi","",SUMPRODUCT($C$13:$AB$13,Puanlar!C34:AB34)/5)</f>
        <v>53.6</v>
      </c>
      <c r="D51" s="8">
        <f>IF(Hesap!D34="kaldi","",SUMPRODUCT($C$14:$AB$14,Puanlar!C34:AB34)/5)</f>
        <v>52.92077922077922</v>
      </c>
      <c r="E51" s="8">
        <f>IF(Hesap!D34="kaldi","",SUMPRODUCT($C$15:$AB$15,Puanlar!C34:AB34)/5)</f>
        <v>52.68077922077922</v>
      </c>
      <c r="F51" s="8">
        <f>IF(Hesap!D34="kaldi","",SUMPRODUCT($C$16:$AB$16,Puanlar!C34:AB34)/5)</f>
        <v>54.61757922077923</v>
      </c>
      <c r="G51" s="8">
        <f>IF(Hesap!D34="kaldi","",SUMPRODUCT($C$17:$AB$17,Puanlar!C34:AB34)/5)</f>
        <v>53.09803090909092</v>
      </c>
      <c r="H51" s="5">
        <f>IF(C51="","",1+COUNTIF($C$22:$C$153,"&gt;"&amp;C51))</f>
        <v>33</v>
      </c>
      <c r="I51" s="5">
        <f>IF(D51="","",1+COUNTIF($D$22:$D$153,"&gt;"&amp;D51))</f>
        <v>31</v>
      </c>
      <c r="J51" s="5">
        <f>IF(E51="","",1+COUNTIF($E$22:$E$153,"&gt;"&amp;E51))</f>
        <v>25</v>
      </c>
      <c r="K51" s="5">
        <f>IF(F51="","",1+COUNTIF($F$22:$F$153,"&gt;"&amp;F51))</f>
        <v>36</v>
      </c>
      <c r="L51" s="5">
        <f>IF(G51="","",1+COUNTIF($G$22:$G$153,"&gt;"&amp;G51))</f>
        <v>42</v>
      </c>
      <c r="M51" s="5">
        <f>IF(H51="","",MIN(H51:L51))</f>
        <v>25</v>
      </c>
      <c r="N51" s="5">
        <f>IF(H51="","",MAX(H51:L51))</f>
        <v>42</v>
      </c>
    </row>
    <row r="52">
      <c r="A52" s="7" t="str">
        <f>Secenekler!A35</f>
        <v>qral-a</v>
      </c>
      <c r="B52" s="7" t="str">
        <f>Secenekler!C35</f>
        <v>Pro lisansı: bilgi çalışanı ve yapay zekâ kullanıcısı</v>
      </c>
      <c r="C52" s="8">
        <f>IF(Hesap!D35="kaldi","",SUMPRODUCT($C$13:$AB$13,Puanlar!C35:AB35)/5)</f>
        <v>47</v>
      </c>
      <c r="D52" s="8">
        <f>IF(Hesap!D35="kaldi","",SUMPRODUCT($C$14:$AB$14,Puanlar!C35:AB35)/5)</f>
        <v>44.34805194805195</v>
      </c>
      <c r="E52" s="8">
        <f>IF(Hesap!D35="kaldi","",SUMPRODUCT($C$15:$AB$15,Puanlar!C35:AB35)/5)</f>
        <v>41.92805194805195</v>
      </c>
      <c r="F52" s="8">
        <f>IF(Hesap!D35="kaldi","",SUMPRODUCT($C$16:$AB$16,Puanlar!C35:AB35)/5)</f>
        <v>49.12245194805195</v>
      </c>
      <c r="G52" s="8">
        <f>IF(Hesap!D35="kaldi","",SUMPRODUCT($C$17:$AB$17,Puanlar!C35:AB35)/5)</f>
        <v>47.87982606060606</v>
      </c>
      <c r="H52" s="5">
        <f>IF(C52="","",1+COUNTIF($C$22:$C$153,"&gt;"&amp;C52))</f>
        <v>78</v>
      </c>
      <c r="I52" s="5">
        <f>IF(D52="","",1+COUNTIF($D$22:$D$153,"&gt;"&amp;D52))</f>
        <v>94</v>
      </c>
      <c r="J52" s="5">
        <f>IF(E52="","",1+COUNTIF($E$22:$E$153,"&gt;"&amp;E52))</f>
        <v>102</v>
      </c>
      <c r="K52" s="5">
        <f>IF(F52="","",1+COUNTIF($F$22:$F$153,"&gt;"&amp;F52))</f>
        <v>67</v>
      </c>
      <c r="L52" s="5">
        <f>IF(G52="","",1+COUNTIF($G$22:$G$153,"&gt;"&amp;G52))</f>
        <v>88</v>
      </c>
      <c r="M52" s="5">
        <f>IF(H52="","",MIN(H52:L52))</f>
        <v>67</v>
      </c>
      <c r="N52" s="5">
        <f>IF(H52="","",MAX(H52:L52))</f>
        <v>102</v>
      </c>
    </row>
    <row r="53">
      <c r="A53" s="7" t="str">
        <f>Secenekler!A36</f>
        <v>qral-b</v>
      </c>
      <c r="B53" s="7" t="str">
        <f>Secenekler!C36</f>
        <v>Sınıf Paketi: öğretmen ve okul için QR sayfası</v>
      </c>
      <c r="C53" s="8">
        <f>IF(Hesap!D36="kaldi","",SUMPRODUCT($C$13:$AB$13,Puanlar!C36:AB36)/5)</f>
        <v>46.6</v>
      </c>
      <c r="D53" s="8">
        <f>IF(Hesap!D36="kaldi","",SUMPRODUCT($C$14:$AB$14,Puanlar!C36:AB36)/5)</f>
        <v>44.75649350649351</v>
      </c>
      <c r="E53" s="8">
        <f>IF(Hesap!D36="kaldi","",SUMPRODUCT($C$15:$AB$15,Puanlar!C36:AB36)/5)</f>
        <v>42.5864935064935</v>
      </c>
      <c r="F53" s="8">
        <f>IF(Hesap!D36="kaldi","",SUMPRODUCT($C$16:$AB$16,Puanlar!C36:AB36)/5)</f>
        <v>46.7058935064935</v>
      </c>
      <c r="G53" s="8">
        <f>IF(Hesap!D36="kaldi","",SUMPRODUCT($C$17:$AB$17,Puanlar!C36:AB36)/5)</f>
        <v>48.63921090909091</v>
      </c>
      <c r="H53" s="5">
        <f>IF(C53="","",1+COUNTIF($C$22:$C$153,"&gt;"&amp;C53))</f>
        <v>79</v>
      </c>
      <c r="I53" s="5">
        <f>IF(D53="","",1+COUNTIF($D$22:$D$153,"&gt;"&amp;D53))</f>
        <v>91</v>
      </c>
      <c r="J53" s="5">
        <f>IF(E53="","",1+COUNTIF($E$22:$E$153,"&gt;"&amp;E53))</f>
        <v>99</v>
      </c>
      <c r="K53" s="5">
        <f>IF(F53="","",1+COUNTIF($F$22:$F$153,"&gt;"&amp;F53))</f>
        <v>79</v>
      </c>
      <c r="L53" s="5">
        <f>IF(G53="","",1+COUNTIF($G$22:$G$153,"&gt;"&amp;G53))</f>
        <v>82</v>
      </c>
      <c r="M53" s="5">
        <f>IF(H53="","",MIN(H53:L53))</f>
        <v>79</v>
      </c>
      <c r="N53" s="5">
        <f>IF(H53="","",MAX(H53:L53))</f>
        <v>99</v>
      </c>
    </row>
    <row r="54">
      <c r="A54" s="7" t="str">
        <f>Secenekler!A37</f>
        <v>qral-c</v>
      </c>
      <c r="B54" s="7" t="str">
        <f>Secenekler!C37</f>
        <v>Araştırma ekibi için kaynak dışa aktarma şablon paketi</v>
      </c>
      <c r="C54" s="8">
        <f>IF(Hesap!D37="kaldi","",SUMPRODUCT($C$13:$AB$13,Puanlar!C37:AB37)/5)</f>
        <v>46</v>
      </c>
      <c r="D54" s="8">
        <f>IF(Hesap!D37="kaldi","",SUMPRODUCT($C$14:$AB$14,Puanlar!C37:AB37)/5)</f>
        <v>44.51168831168831</v>
      </c>
      <c r="E54" s="8">
        <f>IF(Hesap!D37="kaldi","",SUMPRODUCT($C$15:$AB$15,Puanlar!C37:AB37)/5)</f>
        <v>43.71168831168831</v>
      </c>
      <c r="F54" s="8">
        <f>IF(Hesap!D37="kaldi","",SUMPRODUCT($C$16:$AB$16,Puanlar!C37:AB37)/5)</f>
        <v>46.7376883116883</v>
      </c>
      <c r="G54" s="8">
        <f>IF(Hesap!D37="kaldi","",SUMPRODUCT($C$17:$AB$17,Puanlar!C37:AB37)/5)</f>
        <v>43.97396363636365</v>
      </c>
      <c r="H54" s="5">
        <f>IF(C54="","",1+COUNTIF($C$22:$C$153,"&gt;"&amp;C54))</f>
        <v>84</v>
      </c>
      <c r="I54" s="5">
        <f>IF(D54="","",1+COUNTIF($D$22:$D$153,"&gt;"&amp;D54))</f>
        <v>93</v>
      </c>
      <c r="J54" s="5">
        <f>IF(E54="","",1+COUNTIF($E$22:$E$153,"&gt;"&amp;E54))</f>
        <v>93</v>
      </c>
      <c r="K54" s="5">
        <f>IF(F54="","",1+COUNTIF($F$22:$F$153,"&gt;"&amp;F54))</f>
        <v>78</v>
      </c>
      <c r="L54" s="5">
        <f>IF(G54="","",1+COUNTIF($G$22:$G$153,"&gt;"&amp;G54))</f>
        <v>106</v>
      </c>
      <c r="M54" s="5">
        <f>IF(H54="","",MIN(H54:L54))</f>
        <v>78</v>
      </c>
      <c r="N54" s="5">
        <f>IF(H54="","",MAX(H54:L54))</f>
        <v>106</v>
      </c>
    </row>
    <row r="55">
      <c r="A55" s="7" t="str">
        <f>Secenekler!A38</f>
        <v>frontend-atlasi-a</v>
      </c>
      <c r="B55" s="7" t="str">
        <f>Secenekler!C38</f>
        <v>Eğitmen lisansı ve AI ile Eğitim Sitesi Kiti</v>
      </c>
      <c r="C55" s="8">
        <f>IF(Hesap!D38="kaldi","",SUMPRODUCT($C$13:$AB$13,Puanlar!C38:AB38)/5)</f>
        <v>52</v>
      </c>
      <c r="D55" s="8">
        <f>IF(Hesap!D38="kaldi","",SUMPRODUCT($C$14:$AB$14,Puanlar!C38:AB38)/5)</f>
        <v>50.85714285714285</v>
      </c>
      <c r="E55" s="8">
        <f>IF(Hesap!D38="kaldi","",SUMPRODUCT($C$15:$AB$15,Puanlar!C38:AB38)/5)</f>
        <v>50.11714285714286</v>
      </c>
      <c r="F55" s="8">
        <f>IF(Hesap!D38="kaldi","",SUMPRODUCT($C$16:$AB$16,Puanlar!C38:AB38)/5)</f>
        <v>53.94394285714286</v>
      </c>
      <c r="G55" s="8">
        <f>IF(Hesap!D38="kaldi","",SUMPRODUCT($C$17:$AB$17,Puanlar!C38:AB38)/5)</f>
        <v>52.12714000000001</v>
      </c>
      <c r="H55" s="5">
        <f>IF(C55="","",1+COUNTIF($C$22:$C$153,"&gt;"&amp;C55))</f>
        <v>46</v>
      </c>
      <c r="I55" s="5">
        <f>IF(D55="","",1+COUNTIF($D$22:$D$153,"&gt;"&amp;D55))</f>
        <v>47</v>
      </c>
      <c r="J55" s="5">
        <f>IF(E55="","",1+COUNTIF($E$22:$E$153,"&gt;"&amp;E55))</f>
        <v>44</v>
      </c>
      <c r="K55" s="5">
        <f>IF(F55="","",1+COUNTIF($F$22:$F$153,"&gt;"&amp;F55))</f>
        <v>39</v>
      </c>
      <c r="L55" s="5">
        <f>IF(G55="","",1+COUNTIF($G$22:$G$153,"&gt;"&amp;G55))</f>
        <v>54</v>
      </c>
      <c r="M55" s="5">
        <f>IF(H55="","",MIN(H55:L55))</f>
        <v>39</v>
      </c>
      <c r="N55" s="5">
        <f>IF(H55="","",MAX(H55:L55))</f>
        <v>54</v>
      </c>
    </row>
    <row r="56">
      <c r="A56" s="7" t="str">
        <f>Secenekler!A39</f>
        <v>frontend-atlasi-b</v>
      </c>
      <c r="B56" s="7" t="str">
        <f>Secenekler!C39</f>
        <v>Laboratuvar alıştırma paketi (öğrenenlere, arama ile)</v>
      </c>
      <c r="C56" s="8">
        <f>IF(Hesap!D39="kaldi","",SUMPRODUCT($C$13:$AB$13,Puanlar!C39:AB39)/5)</f>
        <v>56.4</v>
      </c>
      <c r="D56" s="8">
        <f>IF(Hesap!D39="kaldi","",SUMPRODUCT($C$14:$AB$14,Puanlar!C39:AB39)/5)</f>
        <v>53.58701298701298</v>
      </c>
      <c r="E56" s="8">
        <f>IF(Hesap!D39="kaldi","",SUMPRODUCT($C$15:$AB$15,Puanlar!C39:AB39)/5)</f>
        <v>51.26701298701298</v>
      </c>
      <c r="F56" s="8">
        <f>IF(Hesap!D39="kaldi","",SUMPRODUCT($C$16:$AB$16,Puanlar!C39:AB39)/5)</f>
        <v>58.94941298701299</v>
      </c>
      <c r="G56" s="8">
        <f>IF(Hesap!D39="kaldi","",SUMPRODUCT($C$17:$AB$17,Puanlar!C39:AB39)/5)</f>
        <v>56.84873818181818</v>
      </c>
      <c r="H56" s="5">
        <f>IF(C56="","",1+COUNTIF($C$22:$C$153,"&gt;"&amp;C56))</f>
        <v>12</v>
      </c>
      <c r="I56" s="5">
        <f>IF(D56="","",1+COUNTIF($D$22:$D$153,"&gt;"&amp;D56))</f>
        <v>26</v>
      </c>
      <c r="J56" s="5">
        <f>IF(E56="","",1+COUNTIF($E$22:$E$153,"&gt;"&amp;E56))</f>
        <v>33</v>
      </c>
      <c r="K56" s="5">
        <f>IF(F56="","",1+COUNTIF($F$22:$F$153,"&gt;"&amp;F56))</f>
        <v>10</v>
      </c>
      <c r="L56" s="5">
        <f>IF(G56="","",1+COUNTIF($G$22:$G$153,"&gt;"&amp;G56))</f>
        <v>17</v>
      </c>
      <c r="M56" s="5">
        <f>IF(H56="","",MIN(H56:L56))</f>
        <v>10</v>
      </c>
      <c r="N56" s="5">
        <f>IF(H56="","",MAX(H56:L56))</f>
        <v>33</v>
      </c>
    </row>
    <row r="57">
      <c r="A57" s="7" t="str">
        <f>Secenekler!A40</f>
        <v>frontend-atlasi-c</v>
      </c>
      <c r="B57" s="7" t="str">
        <f>Secenekler!C40</f>
        <v>Eğitmene sabit kapsamlı ders ve laboratuvar üretimi</v>
      </c>
      <c r="C57" s="8">
        <f>IF(Hesap!D40="kaldi","",SUMPRODUCT($C$13:$AB$13,Puanlar!C40:AB40)/5)</f>
        <v>50.8</v>
      </c>
      <c r="D57" s="8">
        <f>IF(Hesap!D40="kaldi","",SUMPRODUCT($C$14:$AB$14,Puanlar!C40:AB40)/5)</f>
        <v>50.35714285714285</v>
      </c>
      <c r="E57" s="8">
        <f>IF(Hesap!D40="kaldi","",SUMPRODUCT($C$15:$AB$15,Puanlar!C40:AB40)/5)</f>
        <v>50.37714285714286</v>
      </c>
      <c r="F57" s="8">
        <f>IF(Hesap!D40="kaldi","",SUMPRODUCT($C$16:$AB$16,Puanlar!C40:AB40)/5)</f>
        <v>52.14074285714285</v>
      </c>
      <c r="G57" s="8">
        <f>IF(Hesap!D40="kaldi","",SUMPRODUCT($C$17:$AB$17,Puanlar!C40:AB40)/5)</f>
        <v>49.49528000000001</v>
      </c>
      <c r="H57" s="5">
        <f>IF(C57="","",1+COUNTIF($C$22:$C$153,"&gt;"&amp;C57))</f>
        <v>54</v>
      </c>
      <c r="I57" s="5">
        <f>IF(D57="","",1+COUNTIF($D$22:$D$153,"&gt;"&amp;D57))</f>
        <v>53</v>
      </c>
      <c r="J57" s="5">
        <f>IF(E57="","",1+COUNTIF($E$22:$E$153,"&gt;"&amp;E57))</f>
        <v>42</v>
      </c>
      <c r="K57" s="5">
        <f>IF(F57="","",1+COUNTIF($F$22:$F$153,"&gt;"&amp;F57))</f>
        <v>47</v>
      </c>
      <c r="L57" s="5">
        <f>IF(G57="","",1+COUNTIF($G$22:$G$153,"&gt;"&amp;G57))</f>
        <v>75</v>
      </c>
      <c r="M57" s="5">
        <f>IF(H57="","",MIN(H57:L57))</f>
        <v>42</v>
      </c>
      <c r="N57" s="5">
        <f>IF(H57="","",MAX(H57:L57))</f>
        <v>75</v>
      </c>
    </row>
    <row r="58">
      <c r="A58" s="7" t="str">
        <f>Secenekler!A41</f>
        <v>karar-kitabi-a</v>
      </c>
      <c r="B58" s="7" t="str">
        <f>Secenekler!C41</f>
        <v>Yarım günlük kurumsal karar atölyesi</v>
      </c>
      <c r="C58" s="8">
        <f>IF(Hesap!D41="kaldi","",SUMPRODUCT($C$13:$AB$13,Puanlar!C41:AB41)/5)</f>
        <v>46</v>
      </c>
      <c r="D58" s="8">
        <f>IF(Hesap!D41="kaldi","",SUMPRODUCT($C$14:$AB$14,Puanlar!C41:AB41)/5)</f>
        <v>46.21363636363636</v>
      </c>
      <c r="E58" s="8">
        <f>IF(Hesap!D41="kaldi","",SUMPRODUCT($C$15:$AB$15,Puanlar!C41:AB41)/5)</f>
        <v>45.70363636363636</v>
      </c>
      <c r="F58" s="8">
        <f>IF(Hesap!D41="kaldi","",SUMPRODUCT($C$16:$AB$16,Puanlar!C41:AB41)/5)</f>
        <v>47.07183636363636</v>
      </c>
      <c r="G58" s="8">
        <f>IF(Hesap!D41="kaldi","",SUMPRODUCT($C$17:$AB$17,Puanlar!C41:AB41)/5)</f>
        <v>48.54568424242425</v>
      </c>
      <c r="H58" s="5">
        <f>IF(C58="","",1+COUNTIF($C$22:$C$153,"&gt;"&amp;C58))</f>
        <v>84</v>
      </c>
      <c r="I58" s="5">
        <f>IF(D58="","",1+COUNTIF($D$22:$D$153,"&gt;"&amp;D58))</f>
        <v>79</v>
      </c>
      <c r="J58" s="5">
        <f>IF(E58="","",1+COUNTIF($E$22:$E$153,"&gt;"&amp;E58))</f>
        <v>80</v>
      </c>
      <c r="K58" s="5">
        <f>IF(F58="","",1+COUNTIF($F$22:$F$153,"&gt;"&amp;F58))</f>
        <v>76</v>
      </c>
      <c r="L58" s="5">
        <f>IF(G58="","",1+COUNTIF($G$22:$G$153,"&gt;"&amp;G58))</f>
        <v>83</v>
      </c>
      <c r="M58" s="5">
        <f>IF(H58="","",MIN(H58:L58))</f>
        <v>76</v>
      </c>
      <c r="N58" s="5">
        <f>IF(H58="","",MAX(H58:L58))</f>
        <v>84</v>
      </c>
    </row>
    <row r="59">
      <c r="A59" s="7" t="str">
        <f>Secenekler!A42</f>
        <v>karar-kitabi-b</v>
      </c>
      <c r="B59" s="7" t="str">
        <f>Secenekler!C42</f>
        <v>Tema çalışma kâğıdı paketleri ve tam set</v>
      </c>
      <c r="C59" s="8" t="str">
        <f>IF(Hesap!D42="kaldi","",SUMPRODUCT($C$13:$AB$13,Puanlar!C42:AB42)/5)</f>
        <v/>
      </c>
      <c r="D59" s="8" t="str">
        <f>IF(Hesap!D42="kaldi","",SUMPRODUCT($C$14:$AB$14,Puanlar!C42:AB42)/5)</f>
        <v/>
      </c>
      <c r="E59" s="8" t="str">
        <f>IF(Hesap!D42="kaldi","",SUMPRODUCT($C$15:$AB$15,Puanlar!C42:AB42)/5)</f>
        <v/>
      </c>
      <c r="F59" s="8" t="str">
        <f>IF(Hesap!D42="kaldi","",SUMPRODUCT($C$16:$AB$16,Puanlar!C42:AB42)/5)</f>
        <v/>
      </c>
      <c r="G59" s="8" t="str">
        <f>IF(Hesap!D42="kaldi","",SUMPRODUCT($C$17:$AB$17,Puanlar!C42:AB42)/5)</f>
        <v/>
      </c>
      <c r="H59" s="5" t="str">
        <f>IF(C59="","",1+COUNTIF($C$22:$C$153,"&gt;"&amp;C59))</f>
        <v/>
      </c>
      <c r="I59" s="5" t="str">
        <f>IF(D59="","",1+COUNTIF($D$22:$D$153,"&gt;"&amp;D59))</f>
        <v/>
      </c>
      <c r="J59" s="5" t="str">
        <f>IF(E59="","",1+COUNTIF($E$22:$E$153,"&gt;"&amp;E59))</f>
        <v/>
      </c>
      <c r="K59" s="5" t="str">
        <f>IF(F59="","",1+COUNTIF($F$22:$F$153,"&gt;"&amp;F59))</f>
        <v/>
      </c>
      <c r="L59" s="5" t="str">
        <f>IF(G59="","",1+COUNTIF($G$22:$G$153,"&gt;"&amp;G59))</f>
        <v/>
      </c>
      <c r="M59" s="5" t="str">
        <f>IF(H59="","",MIN(H59:L59))</f>
        <v/>
      </c>
      <c r="N59" s="5" t="str">
        <f>IF(H59="","",MAX(H59:L59))</f>
        <v/>
      </c>
    </row>
    <row r="60">
      <c r="A60" s="7" t="str">
        <f>Secenekler!A43</f>
        <v>karar-kitabi-c</v>
      </c>
      <c r="B60" s="7" t="str">
        <f>Secenekler!C43</f>
        <v>Facilitatör için özgün karar memosu kiti</v>
      </c>
      <c r="C60" s="8">
        <f>IF(Hesap!D43="kaldi","",SUMPRODUCT($C$13:$AB$13,Puanlar!C43:AB43)/5)</f>
        <v>42.6</v>
      </c>
      <c r="D60" s="8">
        <f>IF(Hesap!D43="kaldi","",SUMPRODUCT($C$14:$AB$14,Puanlar!C43:AB43)/5)</f>
        <v>41.70454545454545</v>
      </c>
      <c r="E60" s="8">
        <f>IF(Hesap!D43="kaldi","",SUMPRODUCT($C$15:$AB$15,Puanlar!C43:AB43)/5)</f>
        <v>41.01454545454546</v>
      </c>
      <c r="F60" s="8">
        <f>IF(Hesap!D43="kaldi","",SUMPRODUCT($C$16:$AB$16,Puanlar!C43:AB43)/5)</f>
        <v>43.53034545454545</v>
      </c>
      <c r="G60" s="8">
        <f>IF(Hesap!D43="kaldi","",SUMPRODUCT($C$17:$AB$17,Puanlar!C43:AB43)/5)</f>
        <v>45.13287030303031</v>
      </c>
      <c r="H60" s="5">
        <f>IF(C60="","",1+COUNTIF($C$22:$C$153,"&gt;"&amp;C60))</f>
        <v>103</v>
      </c>
      <c r="I60" s="5">
        <f>IF(D60="","",1+COUNTIF($D$22:$D$153,"&gt;"&amp;D60))</f>
        <v>105</v>
      </c>
      <c r="J60" s="5">
        <f>IF(E60="","",1+COUNTIF($E$22:$E$153,"&gt;"&amp;E60))</f>
        <v>104</v>
      </c>
      <c r="K60" s="5">
        <f>IF(F60="","",1+COUNTIF($F$22:$F$153,"&gt;"&amp;F60))</f>
        <v>98</v>
      </c>
      <c r="L60" s="5">
        <f>IF(G60="","",1+COUNTIF($G$22:$G$153,"&gt;"&amp;G60))</f>
        <v>102</v>
      </c>
      <c r="M60" s="5">
        <f>IF(H60="","",MIN(H60:L60))</f>
        <v>98</v>
      </c>
      <c r="N60" s="5">
        <f>IF(H60="","",MAX(H60:L60))</f>
        <v>105</v>
      </c>
    </row>
    <row r="61">
      <c r="A61" s="7" t="str">
        <f>Secenekler!A44</f>
        <v>kurucu-sunum-hizmeti-a</v>
      </c>
      <c r="B61" s="7" t="str">
        <f>Secenekler!C44</f>
        <v>Hibe ve yatırım sunum paketi: site, canlı model, doğrulama</v>
      </c>
      <c r="C61" s="8">
        <f>IF(Hesap!D44="kaldi","",SUMPRODUCT($C$13:$AB$13,Puanlar!C44:AB44)/5)</f>
        <v>55.4</v>
      </c>
      <c r="D61" s="8">
        <f>IF(Hesap!D44="kaldi","",SUMPRODUCT($C$14:$AB$14,Puanlar!C44:AB44)/5)</f>
        <v>55.76363636363637</v>
      </c>
      <c r="E61" s="8">
        <f>IF(Hesap!D44="kaldi","",SUMPRODUCT($C$15:$AB$15,Puanlar!C44:AB44)/5)</f>
        <v>56.46363636363636</v>
      </c>
      <c r="F61" s="8">
        <f>IF(Hesap!D44="kaldi","",SUMPRODUCT($C$16:$AB$16,Puanlar!C44:AB44)/5)</f>
        <v>55.60963636363635</v>
      </c>
      <c r="G61" s="8">
        <f>IF(Hesap!D44="kaldi","",SUMPRODUCT($C$17:$AB$17,Puanlar!C44:AB44)/5)</f>
        <v>55.35865757575758</v>
      </c>
      <c r="H61" s="5">
        <f>IF(C61="","",1+COUNTIF($C$22:$C$153,"&gt;"&amp;C61))</f>
        <v>22</v>
      </c>
      <c r="I61" s="5">
        <f>IF(D61="","",1+COUNTIF($D$22:$D$153,"&gt;"&amp;D61))</f>
        <v>13</v>
      </c>
      <c r="J61" s="5">
        <f>IF(E61="","",1+COUNTIF($E$22:$E$153,"&gt;"&amp;E61))</f>
        <v>10</v>
      </c>
      <c r="K61" s="5">
        <f>IF(F61="","",1+COUNTIF($F$22:$F$153,"&gt;"&amp;F61))</f>
        <v>31</v>
      </c>
      <c r="L61" s="5">
        <f>IF(G61="","",1+COUNTIF($G$22:$G$153,"&gt;"&amp;G61))</f>
        <v>30</v>
      </c>
      <c r="M61" s="5">
        <f>IF(H61="","",MIN(H61:L61))</f>
        <v>10</v>
      </c>
      <c r="N61" s="5">
        <f>IF(H61="","",MAX(H61:L61))</f>
        <v>31</v>
      </c>
    </row>
    <row r="62">
      <c r="A62" s="7" t="str">
        <f>Secenekler!A45</f>
        <v>kurucu-sunum-hizmeti-b</v>
      </c>
      <c r="B62" s="7" t="str">
        <f>Secenekler!C45</f>
        <v>Rakam tutarlılığı denetimi: tek dosya, sabit fiyat</v>
      </c>
      <c r="C62" s="8">
        <f>IF(Hesap!D45="kaldi","",SUMPRODUCT($C$13:$AB$13,Puanlar!C45:AB45)/5)</f>
        <v>56.2</v>
      </c>
      <c r="D62" s="8">
        <f>IF(Hesap!D45="kaldi","",SUMPRODUCT($C$14:$AB$14,Puanlar!C45:AB45)/5)</f>
        <v>55.58896103896105</v>
      </c>
      <c r="E62" s="8">
        <f>IF(Hesap!D45="kaldi","",SUMPRODUCT($C$15:$AB$15,Puanlar!C45:AB45)/5)</f>
        <v>55.91896103896104</v>
      </c>
      <c r="F62" s="8">
        <f>IF(Hesap!D45="kaldi","",SUMPRODUCT($C$16:$AB$16,Puanlar!C45:AB45)/5)</f>
        <v>57.35836103896104</v>
      </c>
      <c r="G62" s="8">
        <f>IF(Hesap!D45="kaldi","",SUMPRODUCT($C$17:$AB$17,Puanlar!C45:AB45)/5)</f>
        <v>55.1251987878788</v>
      </c>
      <c r="H62" s="5">
        <f>IF(C62="","",1+COUNTIF($C$22:$C$153,"&gt;"&amp;C62))</f>
        <v>16</v>
      </c>
      <c r="I62" s="5">
        <f>IF(D62="","",1+COUNTIF($D$22:$D$153,"&gt;"&amp;D62))</f>
        <v>15</v>
      </c>
      <c r="J62" s="5">
        <f>IF(E62="","",1+COUNTIF($E$22:$E$153,"&gt;"&amp;E62))</f>
        <v>13</v>
      </c>
      <c r="K62" s="5">
        <f>IF(F62="","",1+COUNTIF($F$22:$F$153,"&gt;"&amp;F62))</f>
        <v>20</v>
      </c>
      <c r="L62" s="5">
        <f>IF(G62="","",1+COUNTIF($G$22:$G$153,"&gt;"&amp;G62))</f>
        <v>31</v>
      </c>
      <c r="M62" s="5">
        <f>IF(H62="","",MIN(H62:L62))</f>
        <v>13</v>
      </c>
      <c r="N62" s="5">
        <f>IF(H62="","",MAX(H62:L62))</f>
        <v>31</v>
      </c>
    </row>
    <row r="63">
      <c r="A63" s="7" t="str">
        <f>Secenekler!A46</f>
        <v>kurucu-sunum-hizmeti-c</v>
      </c>
      <c r="B63" s="7" t="str">
        <f>Secenekler!C46</f>
        <v>Kuluçka ve TTO yıllık lisansı: şablon, doğrulayıcı, eğitim</v>
      </c>
      <c r="C63" s="8">
        <f>IF(Hesap!D46="kaldi","",SUMPRODUCT($C$13:$AB$13,Puanlar!C46:AB46)/5)</f>
        <v>47.4</v>
      </c>
      <c r="D63" s="8">
        <f>IF(Hesap!D46="kaldi","",SUMPRODUCT($C$14:$AB$14,Puanlar!C46:AB46)/5)</f>
        <v>48.35454545454545</v>
      </c>
      <c r="E63" s="8">
        <f>IF(Hesap!D46="kaldi","",SUMPRODUCT($C$15:$AB$15,Puanlar!C46:AB46)/5)</f>
        <v>47.93454545454545</v>
      </c>
      <c r="F63" s="8">
        <f>IF(Hesap!D46="kaldi","",SUMPRODUCT($C$16:$AB$16,Puanlar!C46:AB46)/5)</f>
        <v>45.99894545454546</v>
      </c>
      <c r="G63" s="8">
        <f>IF(Hesap!D46="kaldi","",SUMPRODUCT($C$17:$AB$17,Puanlar!C46:AB46)/5)</f>
        <v>51.47808363636364</v>
      </c>
      <c r="H63" s="5">
        <f>IF(C63="","",1+COUNTIF($C$22:$C$153,"&gt;"&amp;C63))</f>
        <v>76</v>
      </c>
      <c r="I63" s="5">
        <f>IF(D63="","",1+COUNTIF($D$22:$D$153,"&gt;"&amp;D63))</f>
        <v>68</v>
      </c>
      <c r="J63" s="5">
        <f>IF(E63="","",1+COUNTIF($E$22:$E$153,"&gt;"&amp;E63))</f>
        <v>63</v>
      </c>
      <c r="K63" s="5">
        <f>IF(F63="","",1+COUNTIF($F$22:$F$153,"&gt;"&amp;F63))</f>
        <v>85</v>
      </c>
      <c r="L63" s="5">
        <f>IF(G63="","",1+COUNTIF($G$22:$G$153,"&gt;"&amp;G63))</f>
        <v>61</v>
      </c>
      <c r="M63" s="5">
        <f>IF(H63="","",MIN(H63:L63))</f>
        <v>61</v>
      </c>
      <c r="N63" s="5">
        <f>IF(H63="","",MAX(H63:L63))</f>
        <v>85</v>
      </c>
    </row>
    <row r="64">
      <c r="A64" s="7" t="str">
        <f>Secenekler!A47</f>
        <v>vize-operasyon-a</v>
      </c>
      <c r="B64" s="7" t="str">
        <f>Secenekler!C47</f>
        <v>Acente paneli: 90 günlük pilot, sonra abonelik</v>
      </c>
      <c r="C64" s="8">
        <f>IF(Hesap!D47="kaldi","",SUMPRODUCT($C$13:$AB$13,Puanlar!C47:AB47)/5)</f>
        <v>48.2</v>
      </c>
      <c r="D64" s="8">
        <f>IF(Hesap!D47="kaldi","",SUMPRODUCT($C$14:$AB$14,Puanlar!C47:AB47)/5)</f>
        <v>48.30454545454545</v>
      </c>
      <c r="E64" s="8">
        <f>IF(Hesap!D47="kaldi","",SUMPRODUCT($C$15:$AB$15,Puanlar!C47:AB47)/5)</f>
        <v>48.07454545454546</v>
      </c>
      <c r="F64" s="8">
        <f>IF(Hesap!D47="kaldi","",SUMPRODUCT($C$16:$AB$16,Puanlar!C47:AB47)/5)</f>
        <v>45.50314545454545</v>
      </c>
      <c r="G64" s="8">
        <f>IF(Hesap!D47="kaldi","",SUMPRODUCT($C$17:$AB$17,Puanlar!C47:AB47)/5)</f>
        <v>49.61254363636364</v>
      </c>
      <c r="H64" s="5">
        <f>IF(C64="","",1+COUNTIF($C$22:$C$153,"&gt;"&amp;C64))</f>
        <v>73</v>
      </c>
      <c r="I64" s="5">
        <f>IF(D64="","",1+COUNTIF($D$22:$D$153,"&gt;"&amp;D64))</f>
        <v>69</v>
      </c>
      <c r="J64" s="5">
        <f>IF(E64="","",1+COUNTIF($E$22:$E$153,"&gt;"&amp;E64))</f>
        <v>62</v>
      </c>
      <c r="K64" s="5">
        <f>IF(F64="","",1+COUNTIF($F$22:$F$153,"&gt;"&amp;F64))</f>
        <v>88</v>
      </c>
      <c r="L64" s="5">
        <f>IF(G64="","",1+COUNTIF($G$22:$G$153,"&gt;"&amp;G64))</f>
        <v>74</v>
      </c>
      <c r="M64" s="5">
        <f>IF(H64="","",MIN(H64:L64))</f>
        <v>62</v>
      </c>
      <c r="N64" s="5">
        <f>IF(H64="","",MAX(H64:L64))</f>
        <v>88</v>
      </c>
    </row>
    <row r="65">
      <c r="A65" s="7" t="str">
        <f>Secenekler!A48</f>
        <v>vize-operasyon-b</v>
      </c>
      <c r="B65" s="7" t="str">
        <f>Secenekler!C48</f>
        <v>Acente Sheet doğrulama ve eksik belge kuyruğu (ücretli pilot)</v>
      </c>
      <c r="C65" s="8">
        <f>IF(Hesap!D48="kaldi","",SUMPRODUCT($C$13:$AB$13,Puanlar!C48:AB48)/5)</f>
        <v>42.6</v>
      </c>
      <c r="D65" s="8">
        <f>IF(Hesap!D48="kaldi","",SUMPRODUCT($C$14:$AB$14,Puanlar!C48:AB48)/5)</f>
        <v>43.18181818181818</v>
      </c>
      <c r="E65" s="8">
        <f>IF(Hesap!D48="kaldi","",SUMPRODUCT($C$15:$AB$15,Puanlar!C48:AB48)/5)</f>
        <v>43.58181818181819</v>
      </c>
      <c r="F65" s="8">
        <f>IF(Hesap!D48="kaldi","",SUMPRODUCT($C$16:$AB$16,Puanlar!C48:AB48)/5)</f>
        <v>40.42381818181818</v>
      </c>
      <c r="G65" s="8">
        <f>IF(Hesap!D48="kaldi","",SUMPRODUCT($C$17:$AB$17,Puanlar!C48:AB48)/5)</f>
        <v>45.37481212121213</v>
      </c>
      <c r="H65" s="5">
        <f>IF(C65="","",1+COUNTIF($C$22:$C$153,"&gt;"&amp;C65))</f>
        <v>103</v>
      </c>
      <c r="I65" s="5">
        <f>IF(D65="","",1+COUNTIF($D$22:$D$153,"&gt;"&amp;D65))</f>
        <v>101</v>
      </c>
      <c r="J65" s="5">
        <f>IF(E65="","",1+COUNTIF($E$22:$E$153,"&gt;"&amp;E65))</f>
        <v>95</v>
      </c>
      <c r="K65" s="5">
        <f>IF(F65="","",1+COUNTIF($F$22:$F$153,"&gt;"&amp;F65))</f>
        <v>106</v>
      </c>
      <c r="L65" s="5">
        <f>IF(G65="","",1+COUNTIF($G$22:$G$153,"&gt;"&amp;G65))</f>
        <v>100</v>
      </c>
      <c r="M65" s="5">
        <f>IF(H65="","",MIN(H65:L65))</f>
        <v>95</v>
      </c>
      <c r="N65" s="5">
        <f>IF(H65="","",MAX(H65:L65))</f>
        <v>106</v>
      </c>
    </row>
    <row r="66">
      <c r="A66" s="7" t="str">
        <f>Secenekler!A49</f>
        <v>vize-operasyon-c</v>
      </c>
      <c r="B66" s="7" t="str">
        <f>Secenekler!C49</f>
        <v>Başvurucu evrak kontrolü: 299/599 ₺ rapor, SEO ile</v>
      </c>
      <c r="C66" s="8" t="str">
        <f>IF(Hesap!D49="kaldi","",SUMPRODUCT($C$13:$AB$13,Puanlar!C49:AB49)/5)</f>
        <v/>
      </c>
      <c r="D66" s="8" t="str">
        <f>IF(Hesap!D49="kaldi","",SUMPRODUCT($C$14:$AB$14,Puanlar!C49:AB49)/5)</f>
        <v/>
      </c>
      <c r="E66" s="8" t="str">
        <f>IF(Hesap!D49="kaldi","",SUMPRODUCT($C$15:$AB$15,Puanlar!C49:AB49)/5)</f>
        <v/>
      </c>
      <c r="F66" s="8" t="str">
        <f>IF(Hesap!D49="kaldi","",SUMPRODUCT($C$16:$AB$16,Puanlar!C49:AB49)/5)</f>
        <v/>
      </c>
      <c r="G66" s="8" t="str">
        <f>IF(Hesap!D49="kaldi","",SUMPRODUCT($C$17:$AB$17,Puanlar!C49:AB49)/5)</f>
        <v/>
      </c>
      <c r="H66" s="5" t="str">
        <f>IF(C66="","",1+COUNTIF($C$22:$C$153,"&gt;"&amp;C66))</f>
        <v/>
      </c>
      <c r="I66" s="5" t="str">
        <f>IF(D66="","",1+COUNTIF($D$22:$D$153,"&gt;"&amp;D66))</f>
        <v/>
      </c>
      <c r="J66" s="5" t="str">
        <f>IF(E66="","",1+COUNTIF($E$22:$E$153,"&gt;"&amp;E66))</f>
        <v/>
      </c>
      <c r="K66" s="5" t="str">
        <f>IF(F66="","",1+COUNTIF($F$22:$F$153,"&gt;"&amp;F66))</f>
        <v/>
      </c>
      <c r="L66" s="5" t="str">
        <f>IF(G66="","",1+COUNTIF($G$22:$G$153,"&gt;"&amp;G66))</f>
        <v/>
      </c>
      <c r="M66" s="5" t="str">
        <f>IF(H66="","",MIN(H66:L66))</f>
        <v/>
      </c>
      <c r="N66" s="5" t="str">
        <f>IF(H66="","",MAX(H66:L66))</f>
        <v/>
      </c>
    </row>
    <row r="67">
      <c r="A67" s="7" t="str">
        <f>Secenekler!A50</f>
        <v>software-factory-a</v>
      </c>
      <c r="B67" s="7" t="str">
        <f>Secenekler!C50</f>
        <v>Sabit fiyatlı kanıtlı MVP paketi (S/M/L)</v>
      </c>
      <c r="C67" s="8">
        <f>IF(Hesap!D50="kaldi","",SUMPRODUCT($C$13:$AB$13,Puanlar!C50:AB50)/5)</f>
        <v>54.2</v>
      </c>
      <c r="D67" s="8">
        <f>IF(Hesap!D50="kaldi","",SUMPRODUCT($C$14:$AB$14,Puanlar!C50:AB50)/5)</f>
        <v>55.37727272727273</v>
      </c>
      <c r="E67" s="8">
        <f>IF(Hesap!D50="kaldi","",SUMPRODUCT($C$15:$AB$15,Puanlar!C50:AB50)/5)</f>
        <v>56.36727272727273</v>
      </c>
      <c r="F67" s="8">
        <f>IF(Hesap!D50="kaldi","",SUMPRODUCT($C$16:$AB$16,Puanlar!C50:AB50)/5)</f>
        <v>52.08547272727274</v>
      </c>
      <c r="G67" s="8">
        <f>IF(Hesap!D50="kaldi","",SUMPRODUCT($C$17:$AB$17,Puanlar!C50:AB50)/5)</f>
        <v>56.79580848484849</v>
      </c>
      <c r="H67" s="5">
        <f>IF(C67="","",1+COUNTIF($C$22:$C$153,"&gt;"&amp;C67))</f>
        <v>27</v>
      </c>
      <c r="I67" s="5">
        <f>IF(D67="","",1+COUNTIF($D$22:$D$153,"&gt;"&amp;D67))</f>
        <v>16</v>
      </c>
      <c r="J67" s="5">
        <f>IF(E67="","",1+COUNTIF($E$22:$E$153,"&gt;"&amp;E67))</f>
        <v>12</v>
      </c>
      <c r="K67" s="5">
        <f>IF(F67="","",1+COUNTIF($F$22:$F$153,"&gt;"&amp;F67))</f>
        <v>49</v>
      </c>
      <c r="L67" s="5">
        <f>IF(G67="","",1+COUNTIF($G$22:$G$153,"&gt;"&amp;G67))</f>
        <v>18</v>
      </c>
      <c r="M67" s="5">
        <f>IF(H67="","",MIN(H67:L67))</f>
        <v>12</v>
      </c>
      <c r="N67" s="5">
        <f>IF(H67="","",MAX(H67:L67))</f>
        <v>49</v>
      </c>
    </row>
    <row r="68">
      <c r="A68" s="7" t="str">
        <f>Secenekler!A51</f>
        <v>software-factory-b</v>
      </c>
      <c r="B68" s="7" t="str">
        <f>Secenekler!C51</f>
        <v>Tek repo için ajan PR makbuzu kurulum hizmeti</v>
      </c>
      <c r="C68" s="8">
        <f>IF(Hesap!D51="kaldi","",SUMPRODUCT($C$13:$AB$13,Puanlar!C51:AB51)/5)</f>
        <v>45.2</v>
      </c>
      <c r="D68" s="8">
        <f>IF(Hesap!D51="kaldi","",SUMPRODUCT($C$14:$AB$14,Puanlar!C51:AB51)/5)</f>
        <v>45.55259740259741</v>
      </c>
      <c r="E68" s="8">
        <f>IF(Hesap!D51="kaldi","",SUMPRODUCT($C$15:$AB$15,Puanlar!C51:AB51)/5)</f>
        <v>45.30259740259741</v>
      </c>
      <c r="F68" s="8">
        <f>IF(Hesap!D51="kaldi","",SUMPRODUCT($C$16:$AB$16,Puanlar!C51:AB51)/5)</f>
        <v>44.71759740259741</v>
      </c>
      <c r="G68" s="8">
        <f>IF(Hesap!D51="kaldi","",SUMPRODUCT($C$17:$AB$17,Puanlar!C51:AB51)/5)</f>
        <v>48.21673636363637</v>
      </c>
      <c r="H68" s="5">
        <f>IF(C68="","",1+COUNTIF($C$22:$C$153,"&gt;"&amp;C68))</f>
        <v>89</v>
      </c>
      <c r="I68" s="5">
        <f>IF(D68="","",1+COUNTIF($D$22:$D$153,"&gt;"&amp;D68))</f>
        <v>85</v>
      </c>
      <c r="J68" s="5">
        <f>IF(E68="","",1+COUNTIF($E$22:$E$153,"&gt;"&amp;E68))</f>
        <v>84</v>
      </c>
      <c r="K68" s="5">
        <f>IF(F68="","",1+COUNTIF($F$22:$F$153,"&gt;"&amp;F68))</f>
        <v>91</v>
      </c>
      <c r="L68" s="5">
        <f>IF(G68="","",1+COUNTIF($G$22:$G$153,"&gt;"&amp;G68))</f>
        <v>84</v>
      </c>
      <c r="M68" s="5">
        <f>IF(H68="","",MIN(H68:L68))</f>
        <v>84</v>
      </c>
      <c r="N68" s="5">
        <f>IF(H68="","",MAX(H68:L68))</f>
        <v>91</v>
      </c>
    </row>
    <row r="69">
      <c r="A69" s="7" t="str">
        <f>Secenekler!A52</f>
        <v>software-factory-c</v>
      </c>
      <c r="B69" s="7" t="str">
        <f>Secenekler!C52</f>
        <v>Ajanslara beyaz etiket kanıtlı MVP kapasitesi</v>
      </c>
      <c r="C69" s="8">
        <f>IF(Hesap!D52="kaldi","",SUMPRODUCT($C$13:$AB$13,Puanlar!C52:AB52)/5)</f>
        <v>44.2</v>
      </c>
      <c r="D69" s="8">
        <f>IF(Hesap!D52="kaldi","",SUMPRODUCT($C$14:$AB$14,Puanlar!C52:AB52)/5)</f>
        <v>45.45194805194805</v>
      </c>
      <c r="E69" s="8">
        <f>IF(Hesap!D52="kaldi","",SUMPRODUCT($C$15:$AB$15,Puanlar!C52:AB52)/5)</f>
        <v>46.01194805194805</v>
      </c>
      <c r="F69" s="8">
        <f>IF(Hesap!D52="kaldi","",SUMPRODUCT($C$16:$AB$16,Puanlar!C52:AB52)/5)</f>
        <v>41.62274805194805</v>
      </c>
      <c r="G69" s="8">
        <f>IF(Hesap!D52="kaldi","",SUMPRODUCT($C$17:$AB$17,Puanlar!C52:AB52)/5)</f>
        <v>48.75183393939395</v>
      </c>
      <c r="H69" s="5">
        <f>IF(C69="","",1+COUNTIF($C$22:$C$153,"&gt;"&amp;C69))</f>
        <v>96</v>
      </c>
      <c r="I69" s="5">
        <f>IF(D69="","",1+COUNTIF($D$22:$D$153,"&gt;"&amp;D69))</f>
        <v>87</v>
      </c>
      <c r="J69" s="5">
        <f>IF(E69="","",1+COUNTIF($E$22:$E$153,"&gt;"&amp;E69))</f>
        <v>75</v>
      </c>
      <c r="K69" s="5">
        <f>IF(F69="","",1+COUNTIF($F$22:$F$153,"&gt;"&amp;F69))</f>
        <v>103</v>
      </c>
      <c r="L69" s="5">
        <f>IF(G69="","",1+COUNTIF($G$22:$G$153,"&gt;"&amp;G69))</f>
        <v>80</v>
      </c>
      <c r="M69" s="5">
        <f>IF(H69="","",MIN(H69:L69))</f>
        <v>75</v>
      </c>
      <c r="N69" s="5">
        <f>IF(H69="","",MAX(H69:L69))</f>
        <v>103</v>
      </c>
    </row>
    <row r="70">
      <c r="A70" s="7" t="str">
        <f>Secenekler!A53</f>
        <v>strateji-simulatoru-a</v>
      </c>
      <c r="B70" s="7" t="str">
        <f>Secenekler!C53</f>
        <v>Kuluçka ve BİGG uygulayıcıya white-label lisans</v>
      </c>
      <c r="C70" s="8">
        <f>IF(Hesap!D53="kaldi","",SUMPRODUCT($C$13:$AB$13,Puanlar!C53:AB53)/5)</f>
        <v>48.6</v>
      </c>
      <c r="D70" s="8">
        <f>IF(Hesap!D53="kaldi","",SUMPRODUCT($C$14:$AB$14,Puanlar!C53:AB53)/5)</f>
        <v>49.4</v>
      </c>
      <c r="E70" s="8">
        <f>IF(Hesap!D53="kaldi","",SUMPRODUCT($C$15:$AB$15,Puanlar!C53:AB53)/5)</f>
        <v>49.18</v>
      </c>
      <c r="F70" s="8">
        <f>IF(Hesap!D53="kaldi","",SUMPRODUCT($C$16:$AB$16,Puanlar!C53:AB53)/5)</f>
        <v>47.6904</v>
      </c>
      <c r="G70" s="8">
        <f>IF(Hesap!D53="kaldi","",SUMPRODUCT($C$17:$AB$17,Puanlar!C53:AB53)/5)</f>
        <v>51.76602</v>
      </c>
      <c r="H70" s="5">
        <f>IF(C70="","",1+COUNTIF($C$22:$C$153,"&gt;"&amp;C70))</f>
        <v>69</v>
      </c>
      <c r="I70" s="5">
        <f>IF(D70="","",1+COUNTIF($D$22:$D$153,"&gt;"&amp;D70))</f>
        <v>60</v>
      </c>
      <c r="J70" s="5">
        <f>IF(E70="","",1+COUNTIF($E$22:$E$153,"&gt;"&amp;E70))</f>
        <v>55</v>
      </c>
      <c r="K70" s="5">
        <f>IF(F70="","",1+COUNTIF($F$22:$F$153,"&gt;"&amp;F70))</f>
        <v>74</v>
      </c>
      <c r="L70" s="5">
        <f>IF(G70="","",1+COUNTIF($G$22:$G$153,"&gt;"&amp;G70))</f>
        <v>59</v>
      </c>
      <c r="M70" s="5">
        <f>IF(H70="","",MIN(H70:L70))</f>
        <v>55</v>
      </c>
      <c r="N70" s="5">
        <f>IF(H70="","",MAX(H70:L70))</f>
        <v>74</v>
      </c>
    </row>
    <row r="71">
      <c r="A71" s="7" t="str">
        <f>Secenekler!A54</f>
        <v>strateji-simulatoru-b</v>
      </c>
      <c r="B71" s="7" t="str">
        <f>Secenekler!C54</f>
        <v>Girişimci adayına ücretli yönetici raporu (PDF)</v>
      </c>
      <c r="C71" s="8">
        <f>IF(Hesap!D54="kaldi","",SUMPRODUCT($C$13:$AB$13,Puanlar!C54:AB54)/5)</f>
        <v>59.8</v>
      </c>
      <c r="D71" s="8">
        <f>IF(Hesap!D54="kaldi","",SUMPRODUCT($C$14:$AB$14,Puanlar!C54:AB54)/5)</f>
        <v>57.98896103896104</v>
      </c>
      <c r="E71" s="8">
        <f>IF(Hesap!D54="kaldi","",SUMPRODUCT($C$15:$AB$15,Puanlar!C54:AB54)/5)</f>
        <v>56.69896103896103</v>
      </c>
      <c r="F71" s="8">
        <f>IF(Hesap!D54="kaldi","",SUMPRODUCT($C$16:$AB$16,Puanlar!C54:AB54)/5)</f>
        <v>61.89676103896104</v>
      </c>
      <c r="G71" s="8">
        <f>IF(Hesap!D54="kaldi","",SUMPRODUCT($C$17:$AB$17,Puanlar!C54:AB54)/5)</f>
        <v>58.8896187878788</v>
      </c>
      <c r="H71" s="5">
        <f>IF(C71="","",1+COUNTIF($C$22:$C$153,"&gt;"&amp;C71))</f>
        <v>2</v>
      </c>
      <c r="I71" s="5">
        <f>IF(D71="","",1+COUNTIF($D$22:$D$153,"&gt;"&amp;D71))</f>
        <v>4</v>
      </c>
      <c r="J71" s="5">
        <f>IF(E71="","",1+COUNTIF($E$22:$E$153,"&gt;"&amp;E71))</f>
        <v>9</v>
      </c>
      <c r="K71" s="5">
        <f>IF(F71="","",1+COUNTIF($F$22:$F$153,"&gt;"&amp;F71))</f>
        <v>2</v>
      </c>
      <c r="L71" s="5">
        <f>IF(G71="","",1+COUNTIF($G$22:$G$153,"&gt;"&amp;G71))</f>
        <v>4</v>
      </c>
      <c r="M71" s="5">
        <f>IF(H71="","",MIN(H71:L71))</f>
        <v>2</v>
      </c>
      <c r="N71" s="5">
        <f>IF(H71="","",MAX(H71:L71))</f>
        <v>9</v>
      </c>
    </row>
    <row r="72">
      <c r="A72" s="7" t="str">
        <f>Secenekler!A55</f>
        <v>strateji-simulatoru-c</v>
      </c>
      <c r="B72" s="7" t="str">
        <f>Secenekler!C55</f>
        <v>Mevcut müşterilere değerlendirme raporu ve yorum görüşmesi</v>
      </c>
      <c r="C72" s="8">
        <f>IF(Hesap!D55="kaldi","",SUMPRODUCT($C$13:$AB$13,Puanlar!C55:AB55)/5)</f>
        <v>56.6</v>
      </c>
      <c r="D72" s="8">
        <f>IF(Hesap!D55="kaldi","",SUMPRODUCT($C$14:$AB$14,Puanlar!C55:AB55)/5)</f>
        <v>56.01623376623377</v>
      </c>
      <c r="E72" s="8">
        <f>IF(Hesap!D55="kaldi","",SUMPRODUCT($C$15:$AB$15,Puanlar!C55:AB55)/5)</f>
        <v>55.28623376623377</v>
      </c>
      <c r="F72" s="8">
        <f>IF(Hesap!D55="kaldi","",SUMPRODUCT($C$16:$AB$16,Puanlar!C55:AB55)/5)</f>
        <v>60.42483376623377</v>
      </c>
      <c r="G72" s="8">
        <f>IF(Hesap!D55="kaldi","",SUMPRODUCT($C$17:$AB$17,Puanlar!C55:AB55)/5)</f>
        <v>57.75100727272728</v>
      </c>
      <c r="H72" s="5">
        <f>IF(C72="","",1+COUNTIF($C$22:$C$153,"&gt;"&amp;C72))</f>
        <v>11</v>
      </c>
      <c r="I72" s="5">
        <f>IF(D72="","",1+COUNTIF($D$22:$D$153,"&gt;"&amp;D72))</f>
        <v>12</v>
      </c>
      <c r="J72" s="5">
        <f>IF(E72="","",1+COUNTIF($E$22:$E$153,"&gt;"&amp;E72))</f>
        <v>17</v>
      </c>
      <c r="K72" s="5">
        <f>IF(F72="","",1+COUNTIF($F$22:$F$153,"&gt;"&amp;F72))</f>
        <v>5</v>
      </c>
      <c r="L72" s="5">
        <f>IF(G72="","",1+COUNTIF($G$22:$G$153,"&gt;"&amp;G72))</f>
        <v>10</v>
      </c>
      <c r="M72" s="5">
        <f>IF(H72="","",MIN(H72:L72))</f>
        <v>5</v>
      </c>
      <c r="N72" s="5">
        <f>IF(H72="","",MAX(H72:L72))</f>
        <v>17</v>
      </c>
    </row>
    <row r="73">
      <c r="A73" s="7" t="str">
        <f>Secenekler!A56</f>
        <v>ajan-kaynak-koruyucu-a</v>
      </c>
      <c r="B73" s="7" t="str">
        <f>Secenekler!C56</f>
        <v>Pro menü çubuğu uygulaması ve rehber paketi (bireysel geliştirici)</v>
      </c>
      <c r="C73" s="8">
        <f>IF(Hesap!D56="kaldi","",SUMPRODUCT($C$13:$AB$13,Puanlar!C56:AB56)/5)</f>
        <v>52.6</v>
      </c>
      <c r="D73" s="8">
        <f>IF(Hesap!D56="kaldi","",SUMPRODUCT($C$14:$AB$14,Puanlar!C56:AB56)/5)</f>
        <v>51.17077922077922</v>
      </c>
      <c r="E73" s="8">
        <f>IF(Hesap!D56="kaldi","",SUMPRODUCT($C$15:$AB$15,Puanlar!C56:AB56)/5)</f>
        <v>49.78077922077922</v>
      </c>
      <c r="F73" s="8">
        <f>IF(Hesap!D56="kaldi","",SUMPRODUCT($C$16:$AB$16,Puanlar!C56:AB56)/5)</f>
        <v>54.87057922077922</v>
      </c>
      <c r="G73" s="8">
        <f>IF(Hesap!D56="kaldi","",SUMPRODUCT($C$17:$AB$17,Puanlar!C56:AB56)/5)</f>
        <v>52.31859757575758</v>
      </c>
      <c r="H73" s="5">
        <f>IF(C73="","",1+COUNTIF($C$22:$C$153,"&gt;"&amp;C73))</f>
        <v>39</v>
      </c>
      <c r="I73" s="5">
        <f>IF(D73="","",1+COUNTIF($D$22:$D$153,"&gt;"&amp;D73))</f>
        <v>42</v>
      </c>
      <c r="J73" s="5">
        <f>IF(E73="","",1+COUNTIF($E$22:$E$153,"&gt;"&amp;E73))</f>
        <v>50</v>
      </c>
      <c r="K73" s="5">
        <f>IF(F73="","",1+COUNTIF($F$22:$F$153,"&gt;"&amp;F73))</f>
        <v>34</v>
      </c>
      <c r="L73" s="5">
        <f>IF(G73="","",1+COUNTIF($G$22:$G$153,"&gt;"&amp;G73))</f>
        <v>52</v>
      </c>
      <c r="M73" s="5">
        <f>IF(H73="","",MIN(H73:L73))</f>
        <v>34</v>
      </c>
      <c r="N73" s="5">
        <f>IF(H73="","",MAX(H73:L73))</f>
        <v>52</v>
      </c>
    </row>
    <row r="74">
      <c r="A74" s="7" t="str">
        <f>Secenekler!A57</f>
        <v>ajan-kaynak-koruyucu-b</v>
      </c>
      <c r="B74" s="7" t="str">
        <f>Secenekler!C57</f>
        <v>Rapor-yalnız paket ve destekli kurulum/uyumluluk hizmeti</v>
      </c>
      <c r="C74" s="8">
        <f>IF(Hesap!D57="kaldi","",SUMPRODUCT($C$13:$AB$13,Puanlar!C57:AB57)/5)</f>
        <v>49.4</v>
      </c>
      <c r="D74" s="8">
        <f>IF(Hesap!D57="kaldi","",SUMPRODUCT($C$14:$AB$14,Puanlar!C57:AB57)/5)</f>
        <v>48.42532467532467</v>
      </c>
      <c r="E74" s="8">
        <f>IF(Hesap!D57="kaldi","",SUMPRODUCT($C$15:$AB$15,Puanlar!C57:AB57)/5)</f>
        <v>47.17532467532467</v>
      </c>
      <c r="F74" s="8">
        <f>IF(Hesap!D57="kaldi","",SUMPRODUCT($C$16:$AB$16,Puanlar!C57:AB57)/5)</f>
        <v>51.46032467532469</v>
      </c>
      <c r="G74" s="8">
        <f>IF(Hesap!D57="kaldi","",SUMPRODUCT($C$17:$AB$17,Puanlar!C57:AB57)/5)</f>
        <v>51.27595454545455</v>
      </c>
      <c r="H74" s="5">
        <f>IF(C74="","",1+COUNTIF($C$22:$C$153,"&gt;"&amp;C74))</f>
        <v>64</v>
      </c>
      <c r="I74" s="5">
        <f>IF(D74="","",1+COUNTIF($D$22:$D$153,"&gt;"&amp;D74))</f>
        <v>67</v>
      </c>
      <c r="J74" s="5">
        <f>IF(E74="","",1+COUNTIF($E$22:$E$153,"&gt;"&amp;E74))</f>
        <v>67</v>
      </c>
      <c r="K74" s="5">
        <f>IF(F74="","",1+COUNTIF($F$22:$F$153,"&gt;"&amp;F74))</f>
        <v>55</v>
      </c>
      <c r="L74" s="5">
        <f>IF(G74="","",1+COUNTIF($G$22:$G$153,"&gt;"&amp;G74))</f>
        <v>63</v>
      </c>
      <c r="M74" s="5">
        <f>IF(H74="","",MIN(H74:L74))</f>
        <v>55</v>
      </c>
      <c r="N74" s="5">
        <f>IF(H74="","",MAX(H74:L74))</f>
        <v>67</v>
      </c>
    </row>
    <row r="75">
      <c r="A75" s="7" t="str">
        <f>Secenekler!A58</f>
        <v>ajan-kaynak-koruyucu-c</v>
      </c>
      <c r="B75" s="7" t="str">
        <f>Secenekler!C58</f>
        <v>Orkestratör ortaklığı ve kurumsal sponsorluk (kabul API'si)</v>
      </c>
      <c r="C75" s="8">
        <f>IF(Hesap!D58="kaldi","",SUMPRODUCT($C$13:$AB$13,Puanlar!C58:AB58)/5)</f>
        <v>48.4</v>
      </c>
      <c r="D75" s="8">
        <f>IF(Hesap!D58="kaldi","",SUMPRODUCT($C$14:$AB$14,Puanlar!C58:AB58)/5)</f>
        <v>47.43441558441558</v>
      </c>
      <c r="E75" s="8">
        <f>IF(Hesap!D58="kaldi","",SUMPRODUCT($C$15:$AB$15,Puanlar!C58:AB58)/5)</f>
        <v>45.98441558441558</v>
      </c>
      <c r="F75" s="8">
        <f>IF(Hesap!D58="kaldi","",SUMPRODUCT($C$16:$AB$16,Puanlar!C58:AB58)/5)</f>
        <v>50.37341558441558</v>
      </c>
      <c r="G75" s="8">
        <f>IF(Hesap!D58="kaldi","",SUMPRODUCT($C$17:$AB$17,Puanlar!C58:AB58)/5)</f>
        <v>49.75544848484849</v>
      </c>
      <c r="H75" s="5">
        <f>IF(C75="","",1+COUNTIF($C$22:$C$153,"&gt;"&amp;C75))</f>
        <v>71</v>
      </c>
      <c r="I75" s="5">
        <f>IF(D75="","",1+COUNTIF($D$22:$D$153,"&gt;"&amp;D75))</f>
        <v>74</v>
      </c>
      <c r="J75" s="5">
        <f>IF(E75="","",1+COUNTIF($E$22:$E$153,"&gt;"&amp;E75))</f>
        <v>76</v>
      </c>
      <c r="K75" s="5">
        <f>IF(F75="","",1+COUNTIF($F$22:$F$153,"&gt;"&amp;F75))</f>
        <v>60</v>
      </c>
      <c r="L75" s="5">
        <f>IF(G75="","",1+COUNTIF($G$22:$G$153,"&gt;"&amp;G75))</f>
        <v>73</v>
      </c>
      <c r="M75" s="5">
        <f>IF(H75="","",MIN(H75:L75))</f>
        <v>60</v>
      </c>
      <c r="N75" s="5">
        <f>IF(H75="","",MAX(H75:L75))</f>
        <v>76</v>
      </c>
    </row>
    <row r="76">
      <c r="A76" s="7" t="str">
        <f>Secenekler!A59</f>
        <v>actionplan-a</v>
      </c>
      <c r="B76" s="7" t="str">
        <f>Secenekler!C59</f>
        <v>Ajan görev paketi: açık çekirdek ve Pro şablonlar</v>
      </c>
      <c r="C76" s="8">
        <f>IF(Hesap!D59="kaldi","",SUMPRODUCT($C$13:$AB$13,Puanlar!C59:AB59)/5)</f>
        <v>55.8</v>
      </c>
      <c r="D76" s="8">
        <f>IF(Hesap!D59="kaldi","",SUMPRODUCT($C$14:$AB$14,Puanlar!C59:AB59)/5)</f>
        <v>53.93701298701298</v>
      </c>
      <c r="E76" s="8">
        <f>IF(Hesap!D59="kaldi","",SUMPRODUCT($C$15:$AB$15,Puanlar!C59:AB59)/5)</f>
        <v>52.36701298701298</v>
      </c>
      <c r="F76" s="8">
        <f>IF(Hesap!D59="kaldi","",SUMPRODUCT($C$16:$AB$16,Puanlar!C59:AB59)/5)</f>
        <v>56.26441298701299</v>
      </c>
      <c r="G76" s="8">
        <f>IF(Hesap!D59="kaldi","",SUMPRODUCT($C$17:$AB$17,Puanlar!C59:AB59)/5)</f>
        <v>56.07230484848485</v>
      </c>
      <c r="H76" s="5">
        <f>IF(C76="","",1+COUNTIF($C$22:$C$153,"&gt;"&amp;C76))</f>
        <v>20</v>
      </c>
      <c r="I76" s="5">
        <f>IF(D76="","",1+COUNTIF($D$22:$D$153,"&gt;"&amp;D76))</f>
        <v>23</v>
      </c>
      <c r="J76" s="5">
        <f>IF(E76="","",1+COUNTIF($E$22:$E$153,"&gt;"&amp;E76))</f>
        <v>28</v>
      </c>
      <c r="K76" s="5">
        <f>IF(F76="","",1+COUNTIF($F$22:$F$153,"&gt;"&amp;F76))</f>
        <v>28</v>
      </c>
      <c r="L76" s="5">
        <f>IF(G76="","",1+COUNTIF($G$22:$G$153,"&gt;"&amp;G76))</f>
        <v>25</v>
      </c>
      <c r="M76" s="5">
        <f>IF(H76="","",MIN(H76:L76))</f>
        <v>20</v>
      </c>
      <c r="N76" s="5">
        <f>IF(H76="","",MAX(H76:L76))</f>
        <v>28</v>
      </c>
    </row>
    <row r="77">
      <c r="A77" s="7" t="str">
        <f>Secenekler!A60</f>
        <v>actionplan-b</v>
      </c>
      <c r="B77" s="7" t="str">
        <f>Secenekler!C60</f>
        <v>Teslim kabul kurulumu: sürümlü kapsam ve kanıt paketi</v>
      </c>
      <c r="C77" s="8">
        <f>IF(Hesap!D60="kaldi","",SUMPRODUCT($C$13:$AB$13,Puanlar!C60:AB60)/5)</f>
        <v>48</v>
      </c>
      <c r="D77" s="8">
        <f>IF(Hesap!D60="kaldi","",SUMPRODUCT($C$14:$AB$14,Puanlar!C60:AB60)/5)</f>
        <v>47.99090909090908</v>
      </c>
      <c r="E77" s="8">
        <f>IF(Hesap!D60="kaldi","",SUMPRODUCT($C$15:$AB$15,Puanlar!C60:AB60)/5)</f>
        <v>47.89090909090909</v>
      </c>
      <c r="F77" s="8">
        <f>IF(Hesap!D60="kaldi","",SUMPRODUCT($C$16:$AB$16,Puanlar!C60:AB60)/5)</f>
        <v>46.49290909090909</v>
      </c>
      <c r="G77" s="8">
        <f>IF(Hesap!D60="kaldi","",SUMPRODUCT($C$17:$AB$17,Puanlar!C60:AB60)/5)</f>
        <v>50.24347272727273</v>
      </c>
      <c r="H77" s="5">
        <f>IF(C77="","",1+COUNTIF($C$22:$C$153,"&gt;"&amp;C77))</f>
        <v>74</v>
      </c>
      <c r="I77" s="5">
        <f>IF(D77="","",1+COUNTIF($D$22:$D$153,"&gt;"&amp;D77))</f>
        <v>72</v>
      </c>
      <c r="J77" s="5">
        <f>IF(E77="","",1+COUNTIF($E$22:$E$153,"&gt;"&amp;E77))</f>
        <v>64</v>
      </c>
      <c r="K77" s="5">
        <f>IF(F77="","",1+COUNTIF($F$22:$F$153,"&gt;"&amp;F77))</f>
        <v>80</v>
      </c>
      <c r="L77" s="5">
        <f>IF(G77="","",1+COUNTIF($G$22:$G$153,"&gt;"&amp;G77))</f>
        <v>72</v>
      </c>
      <c r="M77" s="5">
        <f>IF(H77="","",MIN(H77:L77))</f>
        <v>64</v>
      </c>
      <c r="N77" s="5">
        <f>IF(H77="","",MAX(H77:L77))</f>
        <v>80</v>
      </c>
    </row>
    <row r="78">
      <c r="A78" s="7" t="str">
        <f>Secenekler!A61</f>
        <v>actionplan-c</v>
      </c>
      <c r="B78" s="7" t="str">
        <f>Secenekler!C61</f>
        <v>Türkçe ajan görev şablon paketi</v>
      </c>
      <c r="C78" s="8">
        <f>IF(Hesap!D61="kaldi","",SUMPRODUCT($C$13:$AB$13,Puanlar!C61:AB61)/5)</f>
        <v>53</v>
      </c>
      <c r="D78" s="8">
        <f>IF(Hesap!D61="kaldi","",SUMPRODUCT($C$14:$AB$14,Puanlar!C61:AB61)/5)</f>
        <v>50.01428571428571</v>
      </c>
      <c r="E78" s="8">
        <f>IF(Hesap!D61="kaldi","",SUMPRODUCT($C$15:$AB$15,Puanlar!C61:AB61)/5)</f>
        <v>47.13428571428571</v>
      </c>
      <c r="F78" s="8">
        <f>IF(Hesap!D61="kaldi","",SUMPRODUCT($C$16:$AB$16,Puanlar!C61:AB61)/5)</f>
        <v>56.48588571428571</v>
      </c>
      <c r="G78" s="8">
        <f>IF(Hesap!D61="kaldi","",SUMPRODUCT($C$17:$AB$17,Puanlar!C61:AB61)/5)</f>
        <v>54.19871333333334</v>
      </c>
      <c r="H78" s="5">
        <f>IF(C78="","",1+COUNTIF($C$22:$C$153,"&gt;"&amp;C78))</f>
        <v>36</v>
      </c>
      <c r="I78" s="5">
        <f>IF(D78="","",1+COUNTIF($D$22:$D$153,"&gt;"&amp;D78))</f>
        <v>56</v>
      </c>
      <c r="J78" s="5">
        <f>IF(E78="","",1+COUNTIF($E$22:$E$153,"&gt;"&amp;E78))</f>
        <v>69</v>
      </c>
      <c r="K78" s="5">
        <f>IF(F78="","",1+COUNTIF($F$22:$F$153,"&gt;"&amp;F78))</f>
        <v>27</v>
      </c>
      <c r="L78" s="5">
        <f>IF(G78="","",1+COUNTIF($G$22:$G$153,"&gt;"&amp;G78))</f>
        <v>36</v>
      </c>
      <c r="M78" s="5">
        <f>IF(H78="","",MIN(H78:L78))</f>
        <v>27</v>
      </c>
      <c r="N78" s="5">
        <f>IF(H78="","",MAX(H78:L78))</f>
        <v>69</v>
      </c>
    </row>
    <row r="79">
      <c r="A79" s="7" t="str">
        <f>Secenekler!A62</f>
        <v>ajan-gozlem-paneli-a</v>
      </c>
      <c r="B79" s="7" t="str">
        <f>Secenekler!C62</f>
        <v>Koruyucu Pro içinde Gözlem Paneli (tek seferlik lisans)</v>
      </c>
      <c r="C79" s="8">
        <f>IF(Hesap!D62="kaldi","",SUMPRODUCT($C$13:$AB$13,Puanlar!C62:AB62)/5)</f>
        <v>56</v>
      </c>
      <c r="D79" s="8">
        <f>IF(Hesap!D62="kaldi","",SUMPRODUCT($C$14:$AB$14,Puanlar!C62:AB62)/5)</f>
        <v>54.17987012987012</v>
      </c>
      <c r="E79" s="8">
        <f>IF(Hesap!D62="kaldi","",SUMPRODUCT($C$15:$AB$15,Puanlar!C62:AB62)/5)</f>
        <v>52.40987012987013</v>
      </c>
      <c r="F79" s="8">
        <f>IF(Hesap!D62="kaldi","",SUMPRODUCT($C$16:$AB$16,Puanlar!C62:AB62)/5)</f>
        <v>58.39127012987012</v>
      </c>
      <c r="G79" s="8">
        <f>IF(Hesap!D62="kaldi","",SUMPRODUCT($C$17:$AB$17,Puanlar!C62:AB62)/5)</f>
        <v>55.69807151515153</v>
      </c>
      <c r="H79" s="5">
        <f>IF(C79="","",1+COUNTIF($C$22:$C$153,"&gt;"&amp;C79))</f>
        <v>19</v>
      </c>
      <c r="I79" s="5">
        <f>IF(D79="","",1+COUNTIF($D$22:$D$153,"&gt;"&amp;D79))</f>
        <v>19</v>
      </c>
      <c r="J79" s="5">
        <f>IF(E79="","",1+COUNTIF($E$22:$E$153,"&gt;"&amp;E79))</f>
        <v>27</v>
      </c>
      <c r="K79" s="5">
        <f>IF(F79="","",1+COUNTIF($F$22:$F$153,"&gt;"&amp;F79))</f>
        <v>13</v>
      </c>
      <c r="L79" s="5">
        <f>IF(G79="","",1+COUNTIF($G$22:$G$153,"&gt;"&amp;G79))</f>
        <v>27</v>
      </c>
      <c r="M79" s="5">
        <f>IF(H79="","",MIN(H79:L79))</f>
        <v>13</v>
      </c>
      <c r="N79" s="5">
        <f>IF(H79="","",MAX(H79:L79))</f>
        <v>27</v>
      </c>
    </row>
    <row r="80">
      <c r="A80" s="7" t="str">
        <f>Secenekler!A63</f>
        <v>ajan-gozlem-paneli-b</v>
      </c>
      <c r="B80" s="7" t="str">
        <f>Secenekler!C63</f>
        <v>Ajanslar için aylık proje bazlı yapay zekâ maliyet raporu</v>
      </c>
      <c r="C80" s="8">
        <f>IF(Hesap!D63="kaldi","",SUMPRODUCT($C$13:$AB$13,Puanlar!C63:AB63)/5)</f>
        <v>45.2</v>
      </c>
      <c r="D80" s="8">
        <f>IF(Hesap!D63="kaldi","",SUMPRODUCT($C$14:$AB$14,Puanlar!C63:AB63)/5)</f>
        <v>45.06363636363636</v>
      </c>
      <c r="E80" s="8">
        <f>IF(Hesap!D63="kaldi","",SUMPRODUCT($C$15:$AB$15,Puanlar!C63:AB63)/5)</f>
        <v>44.88363636363636</v>
      </c>
      <c r="F80" s="8">
        <f>IF(Hesap!D63="kaldi","",SUMPRODUCT($C$16:$AB$16,Puanlar!C63:AB63)/5)</f>
        <v>44.43123636363636</v>
      </c>
      <c r="G80" s="8">
        <f>IF(Hesap!D63="kaldi","",SUMPRODUCT($C$17:$AB$17,Puanlar!C63:AB63)/5)</f>
        <v>47.25903757575758</v>
      </c>
      <c r="H80" s="5">
        <f>IF(C80="","",1+COUNTIF($C$22:$C$153,"&gt;"&amp;C80))</f>
        <v>89</v>
      </c>
      <c r="I80" s="5">
        <f>IF(D80="","",1+COUNTIF($D$22:$D$153,"&gt;"&amp;D80))</f>
        <v>88</v>
      </c>
      <c r="J80" s="5">
        <f>IF(E80="","",1+COUNTIF($E$22:$E$153,"&gt;"&amp;E80))</f>
        <v>85</v>
      </c>
      <c r="K80" s="5">
        <f>IF(F80="","",1+COUNTIF($F$22:$F$153,"&gt;"&amp;F80))</f>
        <v>95</v>
      </c>
      <c r="L80" s="5">
        <f>IF(G80="","",1+COUNTIF($G$22:$G$153,"&gt;"&amp;G80))</f>
        <v>92</v>
      </c>
      <c r="M80" s="5">
        <f>IF(H80="","",MIN(H80:L80))</f>
        <v>85</v>
      </c>
      <c r="N80" s="5">
        <f>IF(H80="","",MAX(H80:L80))</f>
        <v>95</v>
      </c>
    </row>
    <row r="81">
      <c r="A81" s="7" t="str">
        <f>Secenekler!A64</f>
        <v>ajan-gozlem-paneli-c</v>
      </c>
      <c r="B81" s="7" t="str">
        <f>Secenekler!C64</f>
        <v>Yapay zekâ iş izleme kartı kurulum paketi</v>
      </c>
      <c r="C81" s="8" t="str">
        <f>IF(Hesap!D64="kaldi","",SUMPRODUCT($C$13:$AB$13,Puanlar!C64:AB64)/5)</f>
        <v/>
      </c>
      <c r="D81" s="8" t="str">
        <f>IF(Hesap!D64="kaldi","",SUMPRODUCT($C$14:$AB$14,Puanlar!C64:AB64)/5)</f>
        <v/>
      </c>
      <c r="E81" s="8" t="str">
        <f>IF(Hesap!D64="kaldi","",SUMPRODUCT($C$15:$AB$15,Puanlar!C64:AB64)/5)</f>
        <v/>
      </c>
      <c r="F81" s="8" t="str">
        <f>IF(Hesap!D64="kaldi","",SUMPRODUCT($C$16:$AB$16,Puanlar!C64:AB64)/5)</f>
        <v/>
      </c>
      <c r="G81" s="8" t="str">
        <f>IF(Hesap!D64="kaldi","",SUMPRODUCT($C$17:$AB$17,Puanlar!C64:AB64)/5)</f>
        <v/>
      </c>
      <c r="H81" s="5" t="str">
        <f>IF(C81="","",1+COUNTIF($C$22:$C$153,"&gt;"&amp;C81))</f>
        <v/>
      </c>
      <c r="I81" s="5" t="str">
        <f>IF(D81="","",1+COUNTIF($D$22:$D$153,"&gt;"&amp;D81))</f>
        <v/>
      </c>
      <c r="J81" s="5" t="str">
        <f>IF(E81="","",1+COUNTIF($E$22:$E$153,"&gt;"&amp;E81))</f>
        <v/>
      </c>
      <c r="K81" s="5" t="str">
        <f>IF(F81="","",1+COUNTIF($F$22:$F$153,"&gt;"&amp;F81))</f>
        <v/>
      </c>
      <c r="L81" s="5" t="str">
        <f>IF(G81="","",1+COUNTIF($G$22:$G$153,"&gt;"&amp;G81))</f>
        <v/>
      </c>
      <c r="M81" s="5" t="str">
        <f>IF(H81="","",MIN(H81:L81))</f>
        <v/>
      </c>
      <c r="N81" s="5" t="str">
        <f>IF(H81="","",MAX(H81:L81))</f>
        <v/>
      </c>
    </row>
    <row r="82">
      <c r="A82" s="7" t="str">
        <f>Secenekler!A65</f>
        <v>ai-first-tasarim-a</v>
      </c>
      <c r="B82" s="7" t="str">
        <f>Secenekler!C65</f>
        <v>Türkçe yapay zekâ öncelikli tasarım sistemi rehberi (e-kitap)</v>
      </c>
      <c r="C82" s="8">
        <f>IF(Hesap!D65="kaldi","",SUMPRODUCT($C$13:$AB$13,Puanlar!C65:AB65)/5)</f>
        <v>55.6</v>
      </c>
      <c r="D82" s="8">
        <f>IF(Hesap!D65="kaldi","",SUMPRODUCT($C$14:$AB$14,Puanlar!C65:AB65)/5)</f>
        <v>53.34805194805195</v>
      </c>
      <c r="E82" s="8">
        <f>IF(Hesap!D65="kaldi","",SUMPRODUCT($C$15:$AB$15,Puanlar!C65:AB65)/5)</f>
        <v>50.94805194805195</v>
      </c>
      <c r="F82" s="8">
        <f>IF(Hesap!D65="kaldi","",SUMPRODUCT($C$16:$AB$16,Puanlar!C65:AB65)/5)</f>
        <v>58.27605194805194</v>
      </c>
      <c r="G82" s="8">
        <f>IF(Hesap!D65="kaldi","",SUMPRODUCT($C$17:$AB$17,Puanlar!C65:AB65)/5)</f>
        <v>57.33427272727272</v>
      </c>
      <c r="H82" s="5">
        <f>IF(C82="","",1+COUNTIF($C$22:$C$153,"&gt;"&amp;C82))</f>
        <v>21</v>
      </c>
      <c r="I82" s="5">
        <f>IF(D82="","",1+COUNTIF($D$22:$D$153,"&gt;"&amp;D82))</f>
        <v>28</v>
      </c>
      <c r="J82" s="5">
        <f>IF(E82="","",1+COUNTIF($E$22:$E$153,"&gt;"&amp;E82))</f>
        <v>38</v>
      </c>
      <c r="K82" s="5">
        <f>IF(F82="","",1+COUNTIF($F$22:$F$153,"&gt;"&amp;F82))</f>
        <v>15</v>
      </c>
      <c r="L82" s="5">
        <f>IF(G82="","",1+COUNTIF($G$22:$G$153,"&gt;"&amp;G82))</f>
        <v>14</v>
      </c>
      <c r="M82" s="5">
        <f>IF(H82="","",MIN(H82:L82))</f>
        <v>14</v>
      </c>
      <c r="N82" s="5">
        <f>IF(H82="","",MAX(H82:L82))</f>
        <v>38</v>
      </c>
    </row>
    <row r="83">
      <c r="A83" s="7" t="str">
        <f>Secenekler!A66</f>
        <v>ai-first-tasarim-b</v>
      </c>
      <c r="B83" s="7" t="str">
        <f>Secenekler!C66</f>
        <v>Ekip atölyesi ve 2 haftalık tasarım sistemi kurulumu</v>
      </c>
      <c r="C83" s="8">
        <f>IF(Hesap!D66="kaldi","",SUMPRODUCT($C$13:$AB$13,Puanlar!C66:AB66)/5)</f>
        <v>48.8</v>
      </c>
      <c r="D83" s="8">
        <f>IF(Hesap!D66="kaldi","",SUMPRODUCT($C$14:$AB$14,Puanlar!C66:AB66)/5)</f>
        <v>49.37727272727273</v>
      </c>
      <c r="E83" s="8">
        <f>IF(Hesap!D66="kaldi","",SUMPRODUCT($C$15:$AB$15,Puanlar!C66:AB66)/5)</f>
        <v>49.02727272727272</v>
      </c>
      <c r="F83" s="8">
        <f>IF(Hesap!D66="kaldi","",SUMPRODUCT($C$16:$AB$16,Puanlar!C66:AB66)/5)</f>
        <v>48.32427272727273</v>
      </c>
      <c r="G83" s="8">
        <f>IF(Hesap!D66="kaldi","",SUMPRODUCT($C$17:$AB$17,Puanlar!C66:AB66)/5)</f>
        <v>52.71621515151516</v>
      </c>
      <c r="H83" s="5">
        <f>IF(C83="","",1+COUNTIF($C$22:$C$153,"&gt;"&amp;C83))</f>
        <v>68</v>
      </c>
      <c r="I83" s="5">
        <f>IF(D83="","",1+COUNTIF($D$22:$D$153,"&gt;"&amp;D83))</f>
        <v>61</v>
      </c>
      <c r="J83" s="5">
        <f>IF(E83="","",1+COUNTIF($E$22:$E$153,"&gt;"&amp;E83))</f>
        <v>60</v>
      </c>
      <c r="K83" s="5">
        <f>IF(F83="","",1+COUNTIF($F$22:$F$153,"&gt;"&amp;F83))</f>
        <v>73</v>
      </c>
      <c r="L83" s="5">
        <f>IF(G83="","",1+COUNTIF($G$22:$G$153,"&gt;"&amp;G83))</f>
        <v>49</v>
      </c>
      <c r="M83" s="5">
        <f>IF(H83="","",MIN(H83:L83))</f>
        <v>49</v>
      </c>
      <c r="N83" s="5">
        <f>IF(H83="","",MAX(H83:L83))</f>
        <v>73</v>
      </c>
    </row>
    <row r="84">
      <c r="A84" s="7" t="str">
        <f>Secenekler!A67</f>
        <v>ai-first-tasarim-c</v>
      </c>
      <c r="B84" s="7" t="str">
        <f>Secenekler!C67</f>
        <v>Ajansa sabit fiyatlı form ve tablo kabul dosyası paketi</v>
      </c>
      <c r="C84" s="8">
        <f>IF(Hesap!D67="kaldi","",SUMPRODUCT($C$13:$AB$13,Puanlar!C67:AB67)/5)</f>
        <v>50.6</v>
      </c>
      <c r="D84" s="8">
        <f>IF(Hesap!D67="kaldi","",SUMPRODUCT($C$14:$AB$14,Puanlar!C67:AB67)/5)</f>
        <v>50.34805194805195</v>
      </c>
      <c r="E84" s="8">
        <f>IF(Hesap!D67="kaldi","",SUMPRODUCT($C$15:$AB$15,Puanlar!C67:AB67)/5)</f>
        <v>49.86805194805195</v>
      </c>
      <c r="F84" s="8">
        <f>IF(Hesap!D67="kaldi","",SUMPRODUCT($C$16:$AB$16,Puanlar!C67:AB67)/5)</f>
        <v>50.37165194805196</v>
      </c>
      <c r="G84" s="8">
        <f>IF(Hesap!D67="kaldi","",SUMPRODUCT($C$17:$AB$17,Puanlar!C67:AB67)/5)</f>
        <v>52.84848606060607</v>
      </c>
      <c r="H84" s="5">
        <f>IF(C84="","",1+COUNTIF($C$22:$C$153,"&gt;"&amp;C84))</f>
        <v>58</v>
      </c>
      <c r="I84" s="5">
        <f>IF(D84="","",1+COUNTIF($D$22:$D$153,"&gt;"&amp;D84))</f>
        <v>54</v>
      </c>
      <c r="J84" s="5">
        <f>IF(E84="","",1+COUNTIF($E$22:$E$153,"&gt;"&amp;E84))</f>
        <v>47</v>
      </c>
      <c r="K84" s="5">
        <f>IF(F84="","",1+COUNTIF($F$22:$F$153,"&gt;"&amp;F84))</f>
        <v>61</v>
      </c>
      <c r="L84" s="5">
        <f>IF(G84="","",1+COUNTIF($G$22:$G$153,"&gt;"&amp;G84))</f>
        <v>46</v>
      </c>
      <c r="M84" s="5">
        <f>IF(H84="","",MIN(H84:L84))</f>
        <v>46</v>
      </c>
      <c r="N84" s="5">
        <f>IF(H84="","",MAX(H84:L84))</f>
        <v>61</v>
      </c>
    </row>
    <row r="85">
      <c r="A85" s="7" t="str">
        <f>Secenekler!A68</f>
        <v>aicommandcard-a</v>
      </c>
      <c r="B85" s="7" t="str">
        <f>Secenekler!C68</f>
        <v>QR menü ürününde AI asistan (₺999 plan katmanı)</v>
      </c>
      <c r="C85" s="8">
        <f>IF(Hesap!D68="kaldi","",SUMPRODUCT($C$13:$AB$13,Puanlar!C68:AB68)/5)</f>
        <v>48.6</v>
      </c>
      <c r="D85" s="8">
        <f>IF(Hesap!D68="kaldi","",SUMPRODUCT($C$14:$AB$14,Puanlar!C68:AB68)/5)</f>
        <v>48.22077922077922</v>
      </c>
      <c r="E85" s="8">
        <f>IF(Hesap!D68="kaldi","",SUMPRODUCT($C$15:$AB$15,Puanlar!C68:AB68)/5)</f>
        <v>47.74077922077922</v>
      </c>
      <c r="F85" s="8">
        <f>IF(Hesap!D68="kaldi","",SUMPRODUCT($C$16:$AB$16,Puanlar!C68:AB68)/5)</f>
        <v>49.02437922077922</v>
      </c>
      <c r="G85" s="8">
        <f>IF(Hesap!D68="kaldi","",SUMPRODUCT($C$17:$AB$17,Puanlar!C68:AB68)/5)</f>
        <v>50.35303757575758</v>
      </c>
      <c r="H85" s="5">
        <f>IF(C85="","",1+COUNTIF($C$22:$C$153,"&gt;"&amp;C85))</f>
        <v>69</v>
      </c>
      <c r="I85" s="5">
        <f>IF(D85="","",1+COUNTIF($D$22:$D$153,"&gt;"&amp;D85))</f>
        <v>70</v>
      </c>
      <c r="J85" s="5">
        <f>IF(E85="","",1+COUNTIF($E$22:$E$153,"&gt;"&amp;E85))</f>
        <v>65</v>
      </c>
      <c r="K85" s="5">
        <f>IF(F85="","",1+COUNTIF($F$22:$F$153,"&gt;"&amp;F85))</f>
        <v>68</v>
      </c>
      <c r="L85" s="5">
        <f>IF(G85="","",1+COUNTIF($G$22:$G$153,"&gt;"&amp;G85))</f>
        <v>70</v>
      </c>
      <c r="M85" s="5">
        <f>IF(H85="","",MIN(H85:L85))</f>
        <v>65</v>
      </c>
      <c r="N85" s="5">
        <f>IF(H85="","",MAX(H85:L85))</f>
        <v>70</v>
      </c>
    </row>
    <row r="86">
      <c r="A86" s="7" t="str">
        <f>Secenekler!A69</f>
        <v>aicommandcard-b</v>
      </c>
      <c r="B86" s="7" t="str">
        <f>Secenekler!C69</f>
        <v>Sabit kapsamlı AiCommandCard entegrasyon paketi</v>
      </c>
      <c r="C86" s="8">
        <f>IF(Hesap!D69="kaldi","",SUMPRODUCT($C$13:$AB$13,Puanlar!C69:AB69)/5)</f>
        <v>45.2</v>
      </c>
      <c r="D86" s="8">
        <f>IF(Hesap!D69="kaldi","",SUMPRODUCT($C$14:$AB$14,Puanlar!C69:AB69)/5)</f>
        <v>44.95259740259741</v>
      </c>
      <c r="E86" s="8">
        <f>IF(Hesap!D69="kaldi","",SUMPRODUCT($C$15:$AB$15,Puanlar!C69:AB69)/5)</f>
        <v>44.4425974025974</v>
      </c>
      <c r="F86" s="8">
        <f>IF(Hesap!D69="kaldi","",SUMPRODUCT($C$16:$AB$16,Puanlar!C69:AB69)/5)</f>
        <v>46.0107974025974</v>
      </c>
      <c r="G86" s="8">
        <f>IF(Hesap!D69="kaldi","",SUMPRODUCT($C$17:$AB$17,Puanlar!C69:AB69)/5)</f>
        <v>47.73786303030303</v>
      </c>
      <c r="H86" s="5">
        <f>IF(C86="","",1+COUNTIF($C$22:$C$153,"&gt;"&amp;C86))</f>
        <v>89</v>
      </c>
      <c r="I86" s="5">
        <f>IF(D86="","",1+COUNTIF($D$22:$D$153,"&gt;"&amp;D86))</f>
        <v>89</v>
      </c>
      <c r="J86" s="5">
        <f>IF(E86="","",1+COUNTIF($E$22:$E$153,"&gt;"&amp;E86))</f>
        <v>87</v>
      </c>
      <c r="K86" s="5">
        <f>IF(F86="","",1+COUNTIF($F$22:$F$153,"&gt;"&amp;F86))</f>
        <v>83</v>
      </c>
      <c r="L86" s="5">
        <f>IF(G86="","",1+COUNTIF($G$22:$G$153,"&gt;"&amp;G86))</f>
        <v>90</v>
      </c>
      <c r="M86" s="5">
        <f>IF(H86="","",MIN(H86:L86))</f>
        <v>83</v>
      </c>
      <c r="N86" s="5">
        <f>IF(H86="","",MAX(H86:L86))</f>
        <v>90</v>
      </c>
    </row>
    <row r="87">
      <c r="A87" s="7" t="str">
        <f>Secenekler!A70</f>
        <v>atonota-denetim-a</v>
      </c>
      <c r="B87" s="7" t="str">
        <f>Secenekler!C70</f>
        <v>Ücretsiz puan kartı eklentisi ve Pro yıllık lisans</v>
      </c>
      <c r="C87" s="8">
        <f>IF(Hesap!D70="kaldi","",SUMPRODUCT($C$13:$AB$13,Puanlar!C70:AB70)/5)</f>
        <v>53.4</v>
      </c>
      <c r="D87" s="8">
        <f>IF(Hesap!D70="kaldi","",SUMPRODUCT($C$14:$AB$14,Puanlar!C70:AB70)/5)</f>
        <v>52.50714285714285</v>
      </c>
      <c r="E87" s="8">
        <f>IF(Hesap!D70="kaldi","",SUMPRODUCT($C$15:$AB$15,Puanlar!C70:AB70)/5)</f>
        <v>51.07714285714286</v>
      </c>
      <c r="F87" s="8">
        <f>IF(Hesap!D70="kaldi","",SUMPRODUCT($C$16:$AB$16,Puanlar!C70:AB70)/5)</f>
        <v>53.66974285714285</v>
      </c>
      <c r="G87" s="8">
        <f>IF(Hesap!D70="kaldi","",SUMPRODUCT($C$17:$AB$17,Puanlar!C70:AB70)/5)</f>
        <v>55.71624666666668</v>
      </c>
      <c r="H87" s="5">
        <f>IF(C87="","",1+COUNTIF($C$22:$C$153,"&gt;"&amp;C87))</f>
        <v>34</v>
      </c>
      <c r="I87" s="5">
        <f>IF(D87="","",1+COUNTIF($D$22:$D$153,"&gt;"&amp;D87))</f>
        <v>33</v>
      </c>
      <c r="J87" s="5">
        <f>IF(E87="","",1+COUNTIF($E$22:$E$153,"&gt;"&amp;E87))</f>
        <v>36</v>
      </c>
      <c r="K87" s="5">
        <f>IF(F87="","",1+COUNTIF($F$22:$F$153,"&gt;"&amp;F87))</f>
        <v>41</v>
      </c>
      <c r="L87" s="5">
        <f>IF(G87="","",1+COUNTIF($G$22:$G$153,"&gt;"&amp;G87))</f>
        <v>26</v>
      </c>
      <c r="M87" s="5">
        <f>IF(H87="","",MIN(H87:L87))</f>
        <v>26</v>
      </c>
      <c r="N87" s="5">
        <f>IF(H87="","",MAX(H87:L87))</f>
        <v>41</v>
      </c>
    </row>
    <row r="88">
      <c r="A88" s="7" t="str">
        <f>Secenekler!A71</f>
        <v>atonota-denetim-b</v>
      </c>
      <c r="B88" s="7" t="str">
        <f>Secenekler!C71</f>
        <v>Ajans lisansı: 25 site için aylık müşteri sağlık raporu</v>
      </c>
      <c r="C88" s="8">
        <f>IF(Hesap!D71="kaldi","",SUMPRODUCT($C$13:$AB$13,Puanlar!C71:AB71)/5)</f>
        <v>53</v>
      </c>
      <c r="D88" s="8">
        <f>IF(Hesap!D71="kaldi","",SUMPRODUCT($C$14:$AB$14,Puanlar!C71:AB71)/5)</f>
        <v>53.0025974025974</v>
      </c>
      <c r="E88" s="8">
        <f>IF(Hesap!D71="kaldi","",SUMPRODUCT($C$15:$AB$15,Puanlar!C71:AB71)/5)</f>
        <v>53.20259740259739</v>
      </c>
      <c r="F88" s="8">
        <f>IF(Hesap!D71="kaldi","",SUMPRODUCT($C$16:$AB$16,Puanlar!C71:AB71)/5)</f>
        <v>51.77859740259739</v>
      </c>
      <c r="G88" s="8">
        <f>IF(Hesap!D71="kaldi","",SUMPRODUCT($C$17:$AB$17,Puanlar!C71:AB71)/5)</f>
        <v>55.66116969696971</v>
      </c>
      <c r="H88" s="5">
        <f>IF(C88="","",1+COUNTIF($C$22:$C$153,"&gt;"&amp;C88))</f>
        <v>36</v>
      </c>
      <c r="I88" s="5">
        <f>IF(D88="","",1+COUNTIF($D$22:$D$153,"&gt;"&amp;D88))</f>
        <v>30</v>
      </c>
      <c r="J88" s="5">
        <f>IF(E88="","",1+COUNTIF($E$22:$E$153,"&gt;"&amp;E88))</f>
        <v>21</v>
      </c>
      <c r="K88" s="5">
        <f>IF(F88="","",1+COUNTIF($F$22:$F$153,"&gt;"&amp;F88))</f>
        <v>51</v>
      </c>
      <c r="L88" s="5">
        <f>IF(G88="","",1+COUNTIF($G$22:$G$153,"&gt;"&amp;G88))</f>
        <v>28</v>
      </c>
      <c r="M88" s="5">
        <f>IF(H88="","",MIN(H88:L88))</f>
        <v>21</v>
      </c>
      <c r="N88" s="5">
        <f>IF(H88="","",MAX(H88:L88))</f>
        <v>51</v>
      </c>
    </row>
    <row r="89">
      <c r="A89" s="7" t="str">
        <f>Secenekler!A72</f>
        <v>atonota-denetim-c</v>
      </c>
      <c r="B89" s="7" t="str">
        <f>Secenekler!C72</f>
        <v>Ajans için müşteri kabul ve teslim kaydı hizmeti (pilot)</v>
      </c>
      <c r="C89" s="8" t="str">
        <f>IF(Hesap!D72="kaldi","",SUMPRODUCT($C$13:$AB$13,Puanlar!C72:AB72)/5)</f>
        <v/>
      </c>
      <c r="D89" s="8" t="str">
        <f>IF(Hesap!D72="kaldi","",SUMPRODUCT($C$14:$AB$14,Puanlar!C72:AB72)/5)</f>
        <v/>
      </c>
      <c r="E89" s="8" t="str">
        <f>IF(Hesap!D72="kaldi","",SUMPRODUCT($C$15:$AB$15,Puanlar!C72:AB72)/5)</f>
        <v/>
      </c>
      <c r="F89" s="8" t="str">
        <f>IF(Hesap!D72="kaldi","",SUMPRODUCT($C$16:$AB$16,Puanlar!C72:AB72)/5)</f>
        <v/>
      </c>
      <c r="G89" s="8" t="str">
        <f>IF(Hesap!D72="kaldi","",SUMPRODUCT($C$17:$AB$17,Puanlar!C72:AB72)/5)</f>
        <v/>
      </c>
      <c r="H89" s="5" t="str">
        <f>IF(C89="","",1+COUNTIF($C$22:$C$153,"&gt;"&amp;C89))</f>
        <v/>
      </c>
      <c r="I89" s="5" t="str">
        <f>IF(D89="","",1+COUNTIF($D$22:$D$153,"&gt;"&amp;D89))</f>
        <v/>
      </c>
      <c r="J89" s="5" t="str">
        <f>IF(E89="","",1+COUNTIF($E$22:$E$153,"&gt;"&amp;E89))</f>
        <v/>
      </c>
      <c r="K89" s="5" t="str">
        <f>IF(F89="","",1+COUNTIF($F$22:$F$153,"&gt;"&amp;F89))</f>
        <v/>
      </c>
      <c r="L89" s="5" t="str">
        <f>IF(G89="","",1+COUNTIF($G$22:$G$153,"&gt;"&amp;G89))</f>
        <v/>
      </c>
      <c r="M89" s="5" t="str">
        <f>IF(H89="","",MIN(H89:L89))</f>
        <v/>
      </c>
      <c r="N89" s="5" t="str">
        <f>IF(H89="","",MAX(H89:L89))</f>
        <v/>
      </c>
    </row>
    <row r="90">
      <c r="A90" s="7" t="str">
        <f>Secenekler!A73</f>
        <v>b2b-bilesenler-a</v>
      </c>
      <c r="B90" s="7" t="str">
        <f>Secenekler!C73</f>
        <v>Site paketine ek: ürün sayfası ve hareket blokları</v>
      </c>
      <c r="C90" s="8">
        <f>IF(Hesap!D73="kaldi","",SUMPRODUCT($C$13:$AB$13,Puanlar!C73:AB73)/5)</f>
        <v>51.8</v>
      </c>
      <c r="D90" s="8">
        <f>IF(Hesap!D73="kaldi","",SUMPRODUCT($C$14:$AB$14,Puanlar!C73:AB73)/5)</f>
        <v>52.24350649350649</v>
      </c>
      <c r="E90" s="8">
        <f>IF(Hesap!D73="kaldi","",SUMPRODUCT($C$15:$AB$15,Puanlar!C73:AB73)/5)</f>
        <v>51.1935064935065</v>
      </c>
      <c r="F90" s="8">
        <f>IF(Hesap!D73="kaldi","",SUMPRODUCT($C$16:$AB$16,Puanlar!C73:AB73)/5)</f>
        <v>52.13450649350649</v>
      </c>
      <c r="G90" s="8">
        <f>IF(Hesap!D73="kaldi","",SUMPRODUCT($C$17:$AB$17,Puanlar!C73:AB73)/5)</f>
        <v>56.7902090909091</v>
      </c>
      <c r="H90" s="5">
        <f>IF(C90="","",1+COUNTIF($C$22:$C$153,"&gt;"&amp;C90))</f>
        <v>49</v>
      </c>
      <c r="I90" s="5">
        <f>IF(D90="","",1+COUNTIF($D$22:$D$153,"&gt;"&amp;D90))</f>
        <v>37</v>
      </c>
      <c r="J90" s="5">
        <f>IF(E90="","",1+COUNTIF($E$22:$E$153,"&gt;"&amp;E90))</f>
        <v>35</v>
      </c>
      <c r="K90" s="5">
        <f>IF(F90="","",1+COUNTIF($F$22:$F$153,"&gt;"&amp;F90))</f>
        <v>48</v>
      </c>
      <c r="L90" s="5">
        <f>IF(G90="","",1+COUNTIF($G$22:$G$153,"&gt;"&amp;G90))</f>
        <v>19</v>
      </c>
      <c r="M90" s="5">
        <f>IF(H90="","",MIN(H90:L90))</f>
        <v>19</v>
      </c>
      <c r="N90" s="5">
        <f>IF(H90="","",MAX(H90:L90))</f>
        <v>49</v>
      </c>
    </row>
    <row r="91">
      <c r="A91" s="7" t="str">
        <f>Secenekler!A74</f>
        <v>b2b-bilesenler-b</v>
      </c>
      <c r="B91" s="7" t="str">
        <f>Secenekler!C74</f>
        <v>Tek ürün, iki mobil alıcı görünümü (sabit paket)</v>
      </c>
      <c r="C91" s="8">
        <f>IF(Hesap!D74="kaldi","",SUMPRODUCT($C$13:$AB$13,Puanlar!C74:AB74)/5)</f>
        <v>43.6</v>
      </c>
      <c r="D91" s="8">
        <f>IF(Hesap!D74="kaldi","",SUMPRODUCT($C$14:$AB$14,Puanlar!C74:AB74)/5)</f>
        <v>43.21168831168831</v>
      </c>
      <c r="E91" s="8">
        <f>IF(Hesap!D74="kaldi","",SUMPRODUCT($C$15:$AB$15,Puanlar!C74:AB74)/5)</f>
        <v>42.21168831168831</v>
      </c>
      <c r="F91" s="8">
        <f>IF(Hesap!D74="kaldi","",SUMPRODUCT($C$16:$AB$16,Puanlar!C74:AB74)/5)</f>
        <v>44.70168831168831</v>
      </c>
      <c r="G91" s="8">
        <f>IF(Hesap!D74="kaldi","",SUMPRODUCT($C$17:$AB$17,Puanlar!C74:AB74)/5)</f>
        <v>48.13946363636363</v>
      </c>
      <c r="H91" s="5">
        <f>IF(C91="","",1+COUNTIF($C$22:$C$153,"&gt;"&amp;C91))</f>
        <v>98</v>
      </c>
      <c r="I91" s="5">
        <f>IF(D91="","",1+COUNTIF($D$22:$D$153,"&gt;"&amp;D91))</f>
        <v>100</v>
      </c>
      <c r="J91" s="5">
        <f>IF(E91="","",1+COUNTIF($E$22:$E$153,"&gt;"&amp;E91))</f>
        <v>100</v>
      </c>
      <c r="K91" s="5">
        <f>IF(F91="","",1+COUNTIF($F$22:$F$153,"&gt;"&amp;F91))</f>
        <v>92</v>
      </c>
      <c r="L91" s="5">
        <f>IF(G91="","",1+COUNTIF($G$22:$G$153,"&gt;"&amp;G91))</f>
        <v>85</v>
      </c>
      <c r="M91" s="5">
        <f>IF(H91="","",MIN(H91:L91))</f>
        <v>85</v>
      </c>
      <c r="N91" s="5">
        <f>IF(H91="","",MAX(H91:L91))</f>
        <v>100</v>
      </c>
    </row>
    <row r="92">
      <c r="A92" s="7" t="str">
        <f>Secenekler!A75</f>
        <v>b2b-bilesenler-c</v>
      </c>
      <c r="B92" s="7" t="str">
        <f>Secenekler!C75</f>
        <v>Astro ve Tailwind ürün sayfası şablonu (kod satışı)</v>
      </c>
      <c r="C92" s="8">
        <f>IF(Hesap!D75="kaldi","",SUMPRODUCT($C$13:$AB$13,Puanlar!C75:AB75)/5)</f>
        <v>50.6</v>
      </c>
      <c r="D92" s="8">
        <f>IF(Hesap!D75="kaldi","",SUMPRODUCT($C$14:$AB$14,Puanlar!C75:AB75)/5)</f>
        <v>48.80064935064935</v>
      </c>
      <c r="E92" s="8">
        <f>IF(Hesap!D75="kaldi","",SUMPRODUCT($C$15:$AB$15,Puanlar!C75:AB75)/5)</f>
        <v>46.95064935064935</v>
      </c>
      <c r="F92" s="8">
        <f>IF(Hesap!D75="kaldi","",SUMPRODUCT($C$16:$AB$16,Puanlar!C75:AB75)/5)</f>
        <v>51.32764935064935</v>
      </c>
      <c r="G92" s="8">
        <f>IF(Hesap!D75="kaldi","",SUMPRODUCT($C$17:$AB$17,Puanlar!C75:AB75)/5)</f>
        <v>52.05230909090909</v>
      </c>
      <c r="H92" s="5">
        <f>IF(C92="","",1+COUNTIF($C$22:$C$153,"&gt;"&amp;C92))</f>
        <v>58</v>
      </c>
      <c r="I92" s="5">
        <f>IF(D92="","",1+COUNTIF($D$22:$D$153,"&gt;"&amp;D92))</f>
        <v>65</v>
      </c>
      <c r="J92" s="5">
        <f>IF(E92="","",1+COUNTIF($E$22:$E$153,"&gt;"&amp;E92))</f>
        <v>70</v>
      </c>
      <c r="K92" s="5">
        <f>IF(F92="","",1+COUNTIF($F$22:$F$153,"&gt;"&amp;F92))</f>
        <v>57</v>
      </c>
      <c r="L92" s="5">
        <f>IF(G92="","",1+COUNTIF($G$22:$G$153,"&gt;"&amp;G92))</f>
        <v>57</v>
      </c>
      <c r="M92" s="5">
        <f>IF(H92="","",MIN(H92:L92))</f>
        <v>57</v>
      </c>
      <c r="N92" s="5">
        <f>IF(H92="","",MAX(H92:L92))</f>
        <v>70</v>
      </c>
    </row>
    <row r="93">
      <c r="A93" s="7" t="str">
        <f>Secenekler!A76</f>
        <v>banner-post-a</v>
      </c>
      <c r="B93" s="7" t="str">
        <f>Secenekler!C76</f>
        <v>Zabuno içinde kampanya görseli modülü</v>
      </c>
      <c r="C93" s="8">
        <f>IF(Hesap!D76="kaldi","",SUMPRODUCT($C$13:$AB$13,Puanlar!C76:AB76)/5)</f>
        <v>49.6</v>
      </c>
      <c r="D93" s="8">
        <f>IF(Hesap!D76="kaldi","",SUMPRODUCT($C$14:$AB$14,Puanlar!C76:AB76)/5)</f>
        <v>49.11623376623377</v>
      </c>
      <c r="E93" s="8">
        <f>IF(Hesap!D76="kaldi","",SUMPRODUCT($C$15:$AB$15,Puanlar!C76:AB76)/5)</f>
        <v>48.50623376623376</v>
      </c>
      <c r="F93" s="8">
        <f>IF(Hesap!D76="kaldi","",SUMPRODUCT($C$16:$AB$16,Puanlar!C76:AB76)/5)</f>
        <v>49.69643376623377</v>
      </c>
      <c r="G93" s="8">
        <f>IF(Hesap!D76="kaldi","",SUMPRODUCT($C$17:$AB$17,Puanlar!C76:AB76)/5)</f>
        <v>50.65158727272728</v>
      </c>
      <c r="H93" s="5">
        <f>IF(C93="","",1+COUNTIF($C$22:$C$153,"&gt;"&amp;C93))</f>
        <v>62</v>
      </c>
      <c r="I93" s="5">
        <f>IF(D93="","",1+COUNTIF($D$22:$D$153,"&gt;"&amp;D93))</f>
        <v>63</v>
      </c>
      <c r="J93" s="5">
        <f>IF(E93="","",1+COUNTIF($E$22:$E$153,"&gt;"&amp;E93))</f>
        <v>61</v>
      </c>
      <c r="K93" s="5">
        <f>IF(F93="","",1+COUNTIF($F$22:$F$153,"&gt;"&amp;F93))</f>
        <v>65</v>
      </c>
      <c r="L93" s="5">
        <f>IF(G93="","",1+COUNTIF($G$22:$G$153,"&gt;"&amp;G93))</f>
        <v>67</v>
      </c>
      <c r="M93" s="5">
        <f>IF(H93="","",MIN(H93:L93))</f>
        <v>61</v>
      </c>
      <c r="N93" s="5">
        <f>IF(H93="","",MAX(H93:L93))</f>
        <v>67</v>
      </c>
    </row>
    <row r="94">
      <c r="A94" s="7" t="str">
        <f>Secenekler!A77</f>
        <v>banner-post-b</v>
      </c>
      <c r="B94" s="7" t="str">
        <f>Secenekler!C77</f>
        <v>Sosyal görsel hizmet paketi (sabit kapsam)</v>
      </c>
      <c r="C94" s="8">
        <f>IF(Hesap!D77="kaldi","",SUMPRODUCT($C$13:$AB$13,Puanlar!C77:AB77)/5)</f>
        <v>51</v>
      </c>
      <c r="D94" s="8">
        <f>IF(Hesap!D77="kaldi","",SUMPRODUCT($C$14:$AB$14,Puanlar!C77:AB77)/5)</f>
        <v>51.31623376623376</v>
      </c>
      <c r="E94" s="8">
        <f>IF(Hesap!D77="kaldi","",SUMPRODUCT($C$15:$AB$15,Puanlar!C77:AB77)/5)</f>
        <v>51.58623376623378</v>
      </c>
      <c r="F94" s="8">
        <f>IF(Hesap!D77="kaldi","",SUMPRODUCT($C$16:$AB$16,Puanlar!C77:AB77)/5)</f>
        <v>50.25483376623377</v>
      </c>
      <c r="G94" s="8">
        <f>IF(Hesap!D77="kaldi","",SUMPRODUCT($C$17:$AB$17,Puanlar!C77:AB77)/5)</f>
        <v>53.47637393939394</v>
      </c>
      <c r="H94" s="5">
        <f>IF(C94="","",1+COUNTIF($C$22:$C$153,"&gt;"&amp;C94))</f>
        <v>51</v>
      </c>
      <c r="I94" s="5">
        <f>IF(D94="","",1+COUNTIF($D$22:$D$153,"&gt;"&amp;D94))</f>
        <v>41</v>
      </c>
      <c r="J94" s="5">
        <f>IF(E94="","",1+COUNTIF($E$22:$E$153,"&gt;"&amp;E94))</f>
        <v>32</v>
      </c>
      <c r="K94" s="5">
        <f>IF(F94="","",1+COUNTIF($F$22:$F$153,"&gt;"&amp;F94))</f>
        <v>63</v>
      </c>
      <c r="L94" s="5">
        <f>IF(G94="","",1+COUNTIF($G$22:$G$153,"&gt;"&amp;G94))</f>
        <v>40</v>
      </c>
      <c r="M94" s="5">
        <f>IF(H94="","",MIN(H94:L94))</f>
        <v>32</v>
      </c>
      <c r="N94" s="5">
        <f>IF(H94="","",MAX(H94:L94))</f>
        <v>63</v>
      </c>
    </row>
    <row r="95">
      <c r="A95" s="7" t="str">
        <f>Secenekler!A78</f>
        <v>banner-post-c</v>
      </c>
      <c r="B95" s="7" t="str">
        <f>Secenekler!C78</f>
        <v>Ajanslara toplu banner paketi (CSV)</v>
      </c>
      <c r="C95" s="8">
        <f>IF(Hesap!D78="kaldi","",SUMPRODUCT($C$13:$AB$13,Puanlar!C78:AB78)/5)</f>
        <v>44.2</v>
      </c>
      <c r="D95" s="8">
        <f>IF(Hesap!D78="kaldi","",SUMPRODUCT($C$14:$AB$14,Puanlar!C78:AB78)/5)</f>
        <v>43.80909090909091</v>
      </c>
      <c r="E95" s="8">
        <f>IF(Hesap!D78="kaldi","",SUMPRODUCT($C$15:$AB$15,Puanlar!C78:AB78)/5)</f>
        <v>43.50909090909092</v>
      </c>
      <c r="F95" s="8">
        <f>IF(Hesap!D78="kaldi","",SUMPRODUCT($C$16:$AB$16,Puanlar!C78:AB78)/5)</f>
        <v>44.45509090909091</v>
      </c>
      <c r="G95" s="8">
        <f>IF(Hesap!D78="kaldi","",SUMPRODUCT($C$17:$AB$17,Puanlar!C78:AB78)/5)</f>
        <v>45.53546060606061</v>
      </c>
      <c r="H95" s="5">
        <f>IF(C95="","",1+COUNTIF($C$22:$C$153,"&gt;"&amp;C95))</f>
        <v>96</v>
      </c>
      <c r="I95" s="5">
        <f>IF(D95="","",1+COUNTIF($D$22:$D$153,"&gt;"&amp;D95))</f>
        <v>98</v>
      </c>
      <c r="J95" s="5">
        <f>IF(E95="","",1+COUNTIF($E$22:$E$153,"&gt;"&amp;E95))</f>
        <v>96</v>
      </c>
      <c r="K95" s="5">
        <f>IF(F95="","",1+COUNTIF($F$22:$F$153,"&gt;"&amp;F95))</f>
        <v>94</v>
      </c>
      <c r="L95" s="5">
        <f>IF(G95="","",1+COUNTIF($G$22:$G$153,"&gt;"&amp;G95))</f>
        <v>98</v>
      </c>
      <c r="M95" s="5">
        <f>IF(H95="","",MIN(H95:L95))</f>
        <v>94</v>
      </c>
      <c r="N95" s="5">
        <f>IF(H95="","",MAX(H95:L95))</f>
        <v>98</v>
      </c>
    </row>
    <row r="96">
      <c r="A96" s="7" t="str">
        <f>Secenekler!A79</f>
        <v>karar-sihirbazi-a</v>
      </c>
      <c r="B96" s="7" t="str">
        <f>Secenekler!C79</f>
        <v>Ajanslara white-label keşif sihirbazı aboneliği</v>
      </c>
      <c r="C96" s="8" t="str">
        <f>IF(Hesap!D79="kaldi","",SUMPRODUCT($C$13:$AB$13,Puanlar!C79:AB79)/5)</f>
        <v/>
      </c>
      <c r="D96" s="8" t="str">
        <f>IF(Hesap!D79="kaldi","",SUMPRODUCT($C$14:$AB$14,Puanlar!C79:AB79)/5)</f>
        <v/>
      </c>
      <c r="E96" s="8" t="str">
        <f>IF(Hesap!D79="kaldi","",SUMPRODUCT($C$15:$AB$15,Puanlar!C79:AB79)/5)</f>
        <v/>
      </c>
      <c r="F96" s="8" t="str">
        <f>IF(Hesap!D79="kaldi","",SUMPRODUCT($C$16:$AB$16,Puanlar!C79:AB79)/5)</f>
        <v/>
      </c>
      <c r="G96" s="8" t="str">
        <f>IF(Hesap!D79="kaldi","",SUMPRODUCT($C$17:$AB$17,Puanlar!C79:AB79)/5)</f>
        <v/>
      </c>
      <c r="H96" s="5" t="str">
        <f>IF(C96="","",1+COUNTIF($C$22:$C$153,"&gt;"&amp;C96))</f>
        <v/>
      </c>
      <c r="I96" s="5" t="str">
        <f>IF(D96="","",1+COUNTIF($D$22:$D$153,"&gt;"&amp;D96))</f>
        <v/>
      </c>
      <c r="J96" s="5" t="str">
        <f>IF(E96="","",1+COUNTIF($E$22:$E$153,"&gt;"&amp;E96))</f>
        <v/>
      </c>
      <c r="K96" s="5" t="str">
        <f>IF(F96="","",1+COUNTIF($F$22:$F$153,"&gt;"&amp;F96))</f>
        <v/>
      </c>
      <c r="L96" s="5" t="str">
        <f>IF(G96="","",1+COUNTIF($G$22:$G$153,"&gt;"&amp;G96))</f>
        <v/>
      </c>
      <c r="M96" s="5" t="str">
        <f>IF(H96="","",MIN(H96:L96))</f>
        <v/>
      </c>
      <c r="N96" s="5" t="str">
        <f>IF(H96="","",MAX(H96:L96))</f>
        <v/>
      </c>
    </row>
    <row r="97">
      <c r="A97" s="7" t="str">
        <f>Secenekler!A80</f>
        <v>karar-sihirbazi-b</v>
      </c>
      <c r="B97" s="7" t="str">
        <f>Secenekler!C80</f>
        <v>Proje başı stack karar dosyası (sabit kapsamlı hizmet)</v>
      </c>
      <c r="C97" s="8">
        <f>IF(Hesap!D80="kaldi","",SUMPRODUCT($C$13:$AB$13,Puanlar!C80:AB80)/5)</f>
        <v>50.8</v>
      </c>
      <c r="D97" s="8">
        <f>IF(Hesap!D80="kaldi","",SUMPRODUCT($C$14:$AB$14,Puanlar!C80:AB80)/5)</f>
        <v>50.41623376623377</v>
      </c>
      <c r="E97" s="8">
        <f>IF(Hesap!D80="kaldi","",SUMPRODUCT($C$15:$AB$15,Puanlar!C80:AB80)/5)</f>
        <v>49.86623376623376</v>
      </c>
      <c r="F97" s="8">
        <f>IF(Hesap!D80="kaldi","",SUMPRODUCT($C$16:$AB$16,Puanlar!C80:AB80)/5)</f>
        <v>51.47723376623377</v>
      </c>
      <c r="G97" s="8">
        <f>IF(Hesap!D80="kaldi","",SUMPRODUCT($C$17:$AB$17,Puanlar!C80:AB80)/5)</f>
        <v>51.96396060606062</v>
      </c>
      <c r="H97" s="5">
        <f>IF(C97="","",1+COUNTIF($C$22:$C$153,"&gt;"&amp;C97))</f>
        <v>54</v>
      </c>
      <c r="I97" s="5">
        <f>IF(D97="","",1+COUNTIF($D$22:$D$153,"&gt;"&amp;D97))</f>
        <v>52</v>
      </c>
      <c r="J97" s="5">
        <f>IF(E97="","",1+COUNTIF($E$22:$E$153,"&gt;"&amp;E97))</f>
        <v>48</v>
      </c>
      <c r="K97" s="5">
        <f>IF(F97="","",1+COUNTIF($F$22:$F$153,"&gt;"&amp;F97))</f>
        <v>54</v>
      </c>
      <c r="L97" s="5">
        <f>IF(G97="","",1+COUNTIF($G$22:$G$153,"&gt;"&amp;G97))</f>
        <v>58</v>
      </c>
      <c r="M97" s="5">
        <f>IF(H97="","",MIN(H97:L97))</f>
        <v>48</v>
      </c>
      <c r="N97" s="5">
        <f>IF(H97="","",MAX(H97:L97))</f>
        <v>58</v>
      </c>
    </row>
    <row r="98">
      <c r="A98" s="7" t="str">
        <f>Secenekler!A81</f>
        <v>karar-sihirbazi-c</v>
      </c>
      <c r="B98" s="7" t="str">
        <f>Secenekler!C81</f>
        <v>Ajans için uyarlanmış keşif formu kiti (tek seferlik)</v>
      </c>
      <c r="C98" s="8">
        <f>IF(Hesap!D81="kaldi","",SUMPRODUCT($C$13:$AB$13,Puanlar!C81:AB81)/5)</f>
        <v>46</v>
      </c>
      <c r="D98" s="8">
        <f>IF(Hesap!D81="kaldi","",SUMPRODUCT($C$14:$AB$14,Puanlar!C81:AB81)/5)</f>
        <v>44.76428571428571</v>
      </c>
      <c r="E98" s="8">
        <f>IF(Hesap!D81="kaldi","",SUMPRODUCT($C$15:$AB$15,Puanlar!C81:AB81)/5)</f>
        <v>43.83428571428571</v>
      </c>
      <c r="F98" s="8">
        <f>IF(Hesap!D81="kaldi","",SUMPRODUCT($C$16:$AB$16,Puanlar!C81:AB81)/5)</f>
        <v>46.98688571428571</v>
      </c>
      <c r="G98" s="8">
        <f>IF(Hesap!D81="kaldi","",SUMPRODUCT($C$17:$AB$17,Puanlar!C81:AB81)/5)</f>
        <v>45.42268000000001</v>
      </c>
      <c r="H98" s="5">
        <f>IF(C98="","",1+COUNTIF($C$22:$C$153,"&gt;"&amp;C98))</f>
        <v>84</v>
      </c>
      <c r="I98" s="5">
        <f>IF(D98="","",1+COUNTIF($D$22:$D$153,"&gt;"&amp;D98))</f>
        <v>90</v>
      </c>
      <c r="J98" s="5">
        <f>IF(E98="","",1+COUNTIF($E$22:$E$153,"&gt;"&amp;E98))</f>
        <v>92</v>
      </c>
      <c r="K98" s="5">
        <f>IF(F98="","",1+COUNTIF($F$22:$F$153,"&gt;"&amp;F98))</f>
        <v>77</v>
      </c>
      <c r="L98" s="5">
        <f>IF(G98="","",1+COUNTIF($G$22:$G$153,"&gt;"&amp;G98))</f>
        <v>99</v>
      </c>
      <c r="M98" s="5">
        <f>IF(H98="","",MIN(H98:L98))</f>
        <v>77</v>
      </c>
      <c r="N98" s="5">
        <f>IF(H98="","",MAX(H98:L98))</f>
        <v>99</v>
      </c>
    </row>
    <row r="99">
      <c r="A99" s="7" t="str">
        <f>Secenekler!A82</f>
        <v>sunum-bi-hizmeti-a</v>
      </c>
      <c r="B99" s="7" t="str">
        <f>Secenekler!C82</f>
        <v>Katalogdan toplu markalı sunum seti (sabit paket)</v>
      </c>
      <c r="C99" s="8" t="str">
        <f>IF(Hesap!D82="kaldi","",SUMPRODUCT($C$13:$AB$13,Puanlar!C82:AB82)/5)</f>
        <v/>
      </c>
      <c r="D99" s="8" t="str">
        <f>IF(Hesap!D82="kaldi","",SUMPRODUCT($C$14:$AB$14,Puanlar!C82:AB82)/5)</f>
        <v/>
      </c>
      <c r="E99" s="8" t="str">
        <f>IF(Hesap!D82="kaldi","",SUMPRODUCT($C$15:$AB$15,Puanlar!C82:AB82)/5)</f>
        <v/>
      </c>
      <c r="F99" s="8" t="str">
        <f>IF(Hesap!D82="kaldi","",SUMPRODUCT($C$16:$AB$16,Puanlar!C82:AB82)/5)</f>
        <v/>
      </c>
      <c r="G99" s="8" t="str">
        <f>IF(Hesap!D82="kaldi","",SUMPRODUCT($C$17:$AB$17,Puanlar!C82:AB82)/5)</f>
        <v/>
      </c>
      <c r="H99" s="5" t="str">
        <f>IF(C99="","",1+COUNTIF($C$22:$C$153,"&gt;"&amp;C99))</f>
        <v/>
      </c>
      <c r="I99" s="5" t="str">
        <f>IF(D99="","",1+COUNTIF($D$22:$D$153,"&gt;"&amp;D99))</f>
        <v/>
      </c>
      <c r="J99" s="5" t="str">
        <f>IF(E99="","",1+COUNTIF($E$22:$E$153,"&gt;"&amp;E99))</f>
        <v/>
      </c>
      <c r="K99" s="5" t="str">
        <f>IF(F99="","",1+COUNTIF($F$22:$F$153,"&gt;"&amp;F99))</f>
        <v/>
      </c>
      <c r="L99" s="5" t="str">
        <f>IF(G99="","",1+COUNTIF($G$22:$G$153,"&gt;"&amp;G99))</f>
        <v/>
      </c>
      <c r="M99" s="5" t="str">
        <f>IF(H99="","",MIN(H99:L99))</f>
        <v/>
      </c>
      <c r="N99" s="5" t="str">
        <f>IF(H99="","",MAX(H99:L99))</f>
        <v/>
      </c>
    </row>
    <row r="100">
      <c r="A100" s="7" t="str">
        <f>Secenekler!A83</f>
        <v>sunum-bi-hizmeti-b</v>
      </c>
      <c r="B100" s="7" t="str">
        <f>Secenekler!C83</f>
        <v>Butik ajanslara çok markalı sunum üretim aboneliği</v>
      </c>
      <c r="C100" s="8" t="str">
        <f>IF(Hesap!D83="kaldi","",SUMPRODUCT($C$13:$AB$13,Puanlar!C83:AB83)/5)</f>
        <v/>
      </c>
      <c r="D100" s="8" t="str">
        <f>IF(Hesap!D83="kaldi","",SUMPRODUCT($C$14:$AB$14,Puanlar!C83:AB83)/5)</f>
        <v/>
      </c>
      <c r="E100" s="8" t="str">
        <f>IF(Hesap!D83="kaldi","",SUMPRODUCT($C$15:$AB$15,Puanlar!C83:AB83)/5)</f>
        <v/>
      </c>
      <c r="F100" s="8" t="str">
        <f>IF(Hesap!D83="kaldi","",SUMPRODUCT($C$16:$AB$16,Puanlar!C83:AB83)/5)</f>
        <v/>
      </c>
      <c r="G100" s="8" t="str">
        <f>IF(Hesap!D83="kaldi","",SUMPRODUCT($C$17:$AB$17,Puanlar!C83:AB83)/5)</f>
        <v/>
      </c>
      <c r="H100" s="5" t="str">
        <f>IF(C100="","",1+COUNTIF($C$22:$C$153,"&gt;"&amp;C100))</f>
        <v/>
      </c>
      <c r="I100" s="5" t="str">
        <f>IF(D100="","",1+COUNTIF($D$22:$D$153,"&gt;"&amp;D100))</f>
        <v/>
      </c>
      <c r="J100" s="5" t="str">
        <f>IF(E100="","",1+COUNTIF($E$22:$E$153,"&gt;"&amp;E100))</f>
        <v/>
      </c>
      <c r="K100" s="5" t="str">
        <f>IF(F100="","",1+COUNTIF($F$22:$F$153,"&gt;"&amp;F100))</f>
        <v/>
      </c>
      <c r="L100" s="5" t="str">
        <f>IF(G100="","",1+COUNTIF($G$22:$G$153,"&gt;"&amp;G100))</f>
        <v/>
      </c>
      <c r="M100" s="5" t="str">
        <f>IF(H100="","",MIN(H100:L100))</f>
        <v/>
      </c>
      <c r="N100" s="5" t="str">
        <f>IF(H100="","",MAX(H100:L100))</f>
        <v/>
      </c>
    </row>
    <row r="101">
      <c r="A101" s="7" t="str">
        <f>Secenekler!A84</f>
        <v>sunum-bi-hizmeti-c</v>
      </c>
      <c r="B101" s="7" t="str">
        <f>Secenekler!C84</f>
        <v>Danışmana tek kaynaktan yönetici karar dosyası üretimi</v>
      </c>
      <c r="C101" s="8" t="str">
        <f>IF(Hesap!D84="kaldi","",SUMPRODUCT($C$13:$AB$13,Puanlar!C84:AB84)/5)</f>
        <v/>
      </c>
      <c r="D101" s="8" t="str">
        <f>IF(Hesap!D84="kaldi","",SUMPRODUCT($C$14:$AB$14,Puanlar!C84:AB84)/5)</f>
        <v/>
      </c>
      <c r="E101" s="8" t="str">
        <f>IF(Hesap!D84="kaldi","",SUMPRODUCT($C$15:$AB$15,Puanlar!C84:AB84)/5)</f>
        <v/>
      </c>
      <c r="F101" s="8" t="str">
        <f>IF(Hesap!D84="kaldi","",SUMPRODUCT($C$16:$AB$16,Puanlar!C84:AB84)/5)</f>
        <v/>
      </c>
      <c r="G101" s="8" t="str">
        <f>IF(Hesap!D84="kaldi","",SUMPRODUCT($C$17:$AB$17,Puanlar!C84:AB84)/5)</f>
        <v/>
      </c>
      <c r="H101" s="5" t="str">
        <f>IF(C101="","",1+COUNTIF($C$22:$C$153,"&gt;"&amp;C101))</f>
        <v/>
      </c>
      <c r="I101" s="5" t="str">
        <f>IF(D101="","",1+COUNTIF($D$22:$D$153,"&gt;"&amp;D101))</f>
        <v/>
      </c>
      <c r="J101" s="5" t="str">
        <f>IF(E101="","",1+COUNTIF($E$22:$E$153,"&gt;"&amp;E101))</f>
        <v/>
      </c>
      <c r="K101" s="5" t="str">
        <f>IF(F101="","",1+COUNTIF($F$22:$F$153,"&gt;"&amp;F101))</f>
        <v/>
      </c>
      <c r="L101" s="5" t="str">
        <f>IF(G101="","",1+COUNTIF($G$22:$G$153,"&gt;"&amp;G101))</f>
        <v/>
      </c>
      <c r="M101" s="5" t="str">
        <f>IF(H101="","",MIN(H101:L101))</f>
        <v/>
      </c>
      <c r="N101" s="5" t="str">
        <f>IF(H101="","",MAX(H101:L101))</f>
        <v/>
      </c>
    </row>
    <row r="102">
      <c r="A102" s="7" t="str">
        <f>Secenekler!A85</f>
        <v>ik-paneli-hizmeti-a</v>
      </c>
      <c r="B102" s="7" t="str">
        <f>Secenekler!C85</f>
        <v>SaaS satış demosu 7 günde (sabit paket)</v>
      </c>
      <c r="C102" s="8" t="str">
        <f>IF(Hesap!D85="kaldi","",SUMPRODUCT($C$13:$AB$13,Puanlar!C85:AB85)/5)</f>
        <v/>
      </c>
      <c r="D102" s="8" t="str">
        <f>IF(Hesap!D85="kaldi","",SUMPRODUCT($C$14:$AB$14,Puanlar!C85:AB85)/5)</f>
        <v/>
      </c>
      <c r="E102" s="8" t="str">
        <f>IF(Hesap!D85="kaldi","",SUMPRODUCT($C$15:$AB$15,Puanlar!C85:AB85)/5)</f>
        <v/>
      </c>
      <c r="F102" s="8" t="str">
        <f>IF(Hesap!D85="kaldi","",SUMPRODUCT($C$16:$AB$16,Puanlar!C85:AB85)/5)</f>
        <v/>
      </c>
      <c r="G102" s="8" t="str">
        <f>IF(Hesap!D85="kaldi","",SUMPRODUCT($C$17:$AB$17,Puanlar!C85:AB85)/5)</f>
        <v/>
      </c>
      <c r="H102" s="5" t="str">
        <f>IF(C102="","",1+COUNTIF($C$22:$C$153,"&gt;"&amp;C102))</f>
        <v/>
      </c>
      <c r="I102" s="5" t="str">
        <f>IF(D102="","",1+COUNTIF($D$22:$D$153,"&gt;"&amp;D102))</f>
        <v/>
      </c>
      <c r="J102" s="5" t="str">
        <f>IF(E102="","",1+COUNTIF($E$22:$E$153,"&gt;"&amp;E102))</f>
        <v/>
      </c>
      <c r="K102" s="5" t="str">
        <f>IF(F102="","",1+COUNTIF($F$22:$F$153,"&gt;"&amp;F102))</f>
        <v/>
      </c>
      <c r="L102" s="5" t="str">
        <f>IF(G102="","",1+COUNTIF($G$22:$G$153,"&gt;"&amp;G102))</f>
        <v/>
      </c>
      <c r="M102" s="5" t="str">
        <f>IF(H102="","",MIN(H102:L102))</f>
        <v/>
      </c>
      <c r="N102" s="5" t="str">
        <f>IF(H102="","",MAX(H102:L102))</f>
        <v/>
      </c>
    </row>
    <row r="103">
      <c r="A103" s="7" t="str">
        <f>Secenekler!A86</f>
        <v>ik-paneli-hizmeti-b</v>
      </c>
      <c r="B103" s="7" t="str">
        <f>Secenekler!C86</f>
        <v>Ajanslara beyaz etiket aylık demo paketi</v>
      </c>
      <c r="C103" s="8" t="str">
        <f>IF(Hesap!D86="kaldi","",SUMPRODUCT($C$13:$AB$13,Puanlar!C86:AB86)/5)</f>
        <v/>
      </c>
      <c r="D103" s="8" t="str">
        <f>IF(Hesap!D86="kaldi","",SUMPRODUCT($C$14:$AB$14,Puanlar!C86:AB86)/5)</f>
        <v/>
      </c>
      <c r="E103" s="8" t="str">
        <f>IF(Hesap!D86="kaldi","",SUMPRODUCT($C$15:$AB$15,Puanlar!C86:AB86)/5)</f>
        <v/>
      </c>
      <c r="F103" s="8" t="str">
        <f>IF(Hesap!D86="kaldi","",SUMPRODUCT($C$16:$AB$16,Puanlar!C86:AB86)/5)</f>
        <v/>
      </c>
      <c r="G103" s="8" t="str">
        <f>IF(Hesap!D86="kaldi","",SUMPRODUCT($C$17:$AB$17,Puanlar!C86:AB86)/5)</f>
        <v/>
      </c>
      <c r="H103" s="5" t="str">
        <f>IF(C103="","",1+COUNTIF($C$22:$C$153,"&gt;"&amp;C103))</f>
        <v/>
      </c>
      <c r="I103" s="5" t="str">
        <f>IF(D103="","",1+COUNTIF($D$22:$D$153,"&gt;"&amp;D103))</f>
        <v/>
      </c>
      <c r="J103" s="5" t="str">
        <f>IF(E103="","",1+COUNTIF($E$22:$E$153,"&gt;"&amp;E103))</f>
        <v/>
      </c>
      <c r="K103" s="5" t="str">
        <f>IF(F103="","",1+COUNTIF($F$22:$F$153,"&gt;"&amp;F103))</f>
        <v/>
      </c>
      <c r="L103" s="5" t="str">
        <f>IF(G103="","",1+COUNTIF($G$22:$G$153,"&gt;"&amp;G103))</f>
        <v/>
      </c>
      <c r="M103" s="5" t="str">
        <f>IF(H103="","",MIN(H103:L103))</f>
        <v/>
      </c>
      <c r="N103" s="5" t="str">
        <f>IF(H103="","",MAX(H103:L103))</f>
        <v/>
      </c>
    </row>
    <row r="104">
      <c r="A104" s="7" t="str">
        <f>Secenekler!A87</f>
        <v>ik-paneli-hizmeti-c</v>
      </c>
      <c r="B104" s="7" t="str">
        <f>Secenekler!C87</f>
        <v>Puantaj mutabakatı kurulum ve dönem hizmeti</v>
      </c>
      <c r="C104" s="8" t="str">
        <f>IF(Hesap!D87="kaldi","",SUMPRODUCT($C$13:$AB$13,Puanlar!C87:AB87)/5)</f>
        <v/>
      </c>
      <c r="D104" s="8" t="str">
        <f>IF(Hesap!D87="kaldi","",SUMPRODUCT($C$14:$AB$14,Puanlar!C87:AB87)/5)</f>
        <v/>
      </c>
      <c r="E104" s="8" t="str">
        <f>IF(Hesap!D87="kaldi","",SUMPRODUCT($C$15:$AB$15,Puanlar!C87:AB87)/5)</f>
        <v/>
      </c>
      <c r="F104" s="8" t="str">
        <f>IF(Hesap!D87="kaldi","",SUMPRODUCT($C$16:$AB$16,Puanlar!C87:AB87)/5)</f>
        <v/>
      </c>
      <c r="G104" s="8" t="str">
        <f>IF(Hesap!D87="kaldi","",SUMPRODUCT($C$17:$AB$17,Puanlar!C87:AB87)/5)</f>
        <v/>
      </c>
      <c r="H104" s="5" t="str">
        <f>IF(C104="","",1+COUNTIF($C$22:$C$153,"&gt;"&amp;C104))</f>
        <v/>
      </c>
      <c r="I104" s="5" t="str">
        <f>IF(D104="","",1+COUNTIF($D$22:$D$153,"&gt;"&amp;D104))</f>
        <v/>
      </c>
      <c r="J104" s="5" t="str">
        <f>IF(E104="","",1+COUNTIF($E$22:$E$153,"&gt;"&amp;E104))</f>
        <v/>
      </c>
      <c r="K104" s="5" t="str">
        <f>IF(F104="","",1+COUNTIF($F$22:$F$153,"&gt;"&amp;F104))</f>
        <v/>
      </c>
      <c r="L104" s="5" t="str">
        <f>IF(G104="","",1+COUNTIF($G$22:$G$153,"&gt;"&amp;G104))</f>
        <v/>
      </c>
      <c r="M104" s="5" t="str">
        <f>IF(H104="","",MIN(H104:L104))</f>
        <v/>
      </c>
      <c r="N104" s="5" t="str">
        <f>IF(H104="","",MAX(H104:L104))</f>
        <v/>
      </c>
    </row>
    <row r="105">
      <c r="A105" s="7" t="str">
        <f>Secenekler!A88</f>
        <v>ddd-renderer-a</v>
      </c>
      <c r="B105" s="7" t="str">
        <f>Secenekler!C88</f>
        <v>E-kitap eki: 3 mimari şablonlu paket (149 ₺)</v>
      </c>
      <c r="C105" s="8">
        <f>IF(Hesap!D88="kaldi","",SUMPRODUCT($C$13:$AB$13,Puanlar!C88:AB88)/5)</f>
        <v>51</v>
      </c>
      <c r="D105" s="8">
        <f>IF(Hesap!D88="kaldi","",SUMPRODUCT($C$14:$AB$14,Puanlar!C88:AB88)/5)</f>
        <v>48.84805194805195</v>
      </c>
      <c r="E105" s="8">
        <f>IF(Hesap!D88="kaldi","",SUMPRODUCT($C$15:$AB$15,Puanlar!C88:AB88)/5)</f>
        <v>46.46805194805195</v>
      </c>
      <c r="F105" s="8">
        <f>IF(Hesap!D88="kaldi","",SUMPRODUCT($C$16:$AB$16,Puanlar!C88:AB88)/5)</f>
        <v>54.66965194805194</v>
      </c>
      <c r="G105" s="8">
        <f>IF(Hesap!D88="kaldi","",SUMPRODUCT($C$17:$AB$17,Puanlar!C88:AB88)/5)</f>
        <v>52.06755272727273</v>
      </c>
      <c r="H105" s="5">
        <f>IF(C105="","",1+COUNTIF($C$22:$C$153,"&gt;"&amp;C105))</f>
        <v>51</v>
      </c>
      <c r="I105" s="5">
        <f>IF(D105="","",1+COUNTIF($D$22:$D$153,"&gt;"&amp;D105))</f>
        <v>64</v>
      </c>
      <c r="J105" s="5">
        <f>IF(E105="","",1+COUNTIF($E$22:$E$153,"&gt;"&amp;E105))</f>
        <v>73</v>
      </c>
      <c r="K105" s="5">
        <f>IF(F105="","",1+COUNTIF($F$22:$F$153,"&gt;"&amp;F105))</f>
        <v>35</v>
      </c>
      <c r="L105" s="5">
        <f>IF(G105="","",1+COUNTIF($G$22:$G$153,"&gt;"&amp;G105))</f>
        <v>56</v>
      </c>
      <c r="M105" s="5">
        <f>IF(H105="","",MIN(H105:L105))</f>
        <v>35</v>
      </c>
      <c r="N105" s="5">
        <f>IF(H105="","",MAX(H105:L105))</f>
        <v>73</v>
      </c>
    </row>
    <row r="106">
      <c r="A106" s="7" t="str">
        <f>Secenekler!A89</f>
        <v>ddd-renderer-b</v>
      </c>
      <c r="B106" s="7" t="str">
        <f>Secenekler!C89</f>
        <v>Uluslararası şablon paketleri (29-79 $) açık çekirdekle</v>
      </c>
      <c r="C106" s="8">
        <f>IF(Hesap!D89="kaldi","",SUMPRODUCT($C$13:$AB$13,Puanlar!C89:AB89)/5)</f>
        <v>52.8</v>
      </c>
      <c r="D106" s="8">
        <f>IF(Hesap!D89="kaldi","",SUMPRODUCT($C$14:$AB$14,Puanlar!C89:AB89)/5)</f>
        <v>50.95064935064936</v>
      </c>
      <c r="E106" s="8">
        <f>IF(Hesap!D89="kaldi","",SUMPRODUCT($C$15:$AB$15,Puanlar!C89:AB89)/5)</f>
        <v>49.13064935064936</v>
      </c>
      <c r="F106" s="8">
        <f>IF(Hesap!D89="kaldi","",SUMPRODUCT($C$16:$AB$16,Puanlar!C89:AB89)/5)</f>
        <v>53.06304935064934</v>
      </c>
      <c r="G106" s="8">
        <f>IF(Hesap!D89="kaldi","",SUMPRODUCT($C$17:$AB$17,Puanlar!C89:AB89)/5)</f>
        <v>54.6523290909091</v>
      </c>
      <c r="H106" s="5">
        <f>IF(C106="","",1+COUNTIF($C$22:$C$153,"&gt;"&amp;C106))</f>
        <v>38</v>
      </c>
      <c r="I106" s="5">
        <f>IF(D106="","",1+COUNTIF($D$22:$D$153,"&gt;"&amp;D106))</f>
        <v>46</v>
      </c>
      <c r="J106" s="5">
        <f>IF(E106="","",1+COUNTIF($E$22:$E$153,"&gt;"&amp;E106))</f>
        <v>56</v>
      </c>
      <c r="K106" s="5">
        <f>IF(F106="","",1+COUNTIF($F$22:$F$153,"&gt;"&amp;F106))</f>
        <v>42</v>
      </c>
      <c r="L106" s="5">
        <f>IF(G106="","",1+COUNTIF($G$22:$G$153,"&gt;"&amp;G106))</f>
        <v>34</v>
      </c>
      <c r="M106" s="5">
        <f>IF(H106="","",MIN(H106:L106))</f>
        <v>34</v>
      </c>
      <c r="N106" s="5">
        <f>IF(H106="","",MAX(H106:L106))</f>
        <v>56</v>
      </c>
    </row>
    <row r="107">
      <c r="A107" s="7" t="str">
        <f>Secenekler!A90</f>
        <v>ddd-renderer-c</v>
      </c>
      <c r="B107" s="7" t="str">
        <f>Secenekler!C90</f>
        <v>3 günlük sabit kapsamlı mimari değerlendirme hizmeti</v>
      </c>
      <c r="C107" s="8">
        <f>IF(Hesap!D90="kaldi","",SUMPRODUCT($C$13:$AB$13,Puanlar!C90:AB90)/5)</f>
        <v>49.6</v>
      </c>
      <c r="D107" s="8">
        <f>IF(Hesap!D90="kaldi","",SUMPRODUCT($C$14:$AB$14,Puanlar!C90:AB90)/5)</f>
        <v>49.88441558441558</v>
      </c>
      <c r="E107" s="8">
        <f>IF(Hesap!D90="kaldi","",SUMPRODUCT($C$15:$AB$15,Puanlar!C90:AB90)/5)</f>
        <v>49.78441558441558</v>
      </c>
      <c r="F107" s="8">
        <f>IF(Hesap!D90="kaldi","",SUMPRODUCT($C$16:$AB$16,Puanlar!C90:AB90)/5)</f>
        <v>48.45641558441558</v>
      </c>
      <c r="G107" s="8">
        <f>IF(Hesap!D90="kaldi","",SUMPRODUCT($C$17:$AB$17,Puanlar!C90:AB90)/5)</f>
        <v>52.14631515151516</v>
      </c>
      <c r="H107" s="5">
        <f>IF(C107="","",1+COUNTIF($C$22:$C$153,"&gt;"&amp;C107))</f>
        <v>62</v>
      </c>
      <c r="I107" s="5">
        <f>IF(D107="","",1+COUNTIF($D$22:$D$153,"&gt;"&amp;D107))</f>
        <v>57</v>
      </c>
      <c r="J107" s="5">
        <f>IF(E107="","",1+COUNTIF($E$22:$E$153,"&gt;"&amp;E107))</f>
        <v>49</v>
      </c>
      <c r="K107" s="5">
        <f>IF(F107="","",1+COUNTIF($F$22:$F$153,"&gt;"&amp;F107))</f>
        <v>72</v>
      </c>
      <c r="L107" s="5">
        <f>IF(G107="","",1+COUNTIF($G$22:$G$153,"&gt;"&amp;G107))</f>
        <v>53</v>
      </c>
      <c r="M107" s="5">
        <f>IF(H107="","",MIN(H107:L107))</f>
        <v>49</v>
      </c>
      <c r="N107" s="5">
        <f>IF(H107="","",MAX(H107:L107))</f>
        <v>72</v>
      </c>
    </row>
    <row r="108">
      <c r="A108" s="7" t="str">
        <f>Secenekler!A91</f>
        <v>devpanel-a</v>
      </c>
      <c r="B108" s="7" t="str">
        <f>Secenekler!C91</f>
        <v>3 günlük onay, denetim ve yetki entegrasyon paketi</v>
      </c>
      <c r="C108" s="8">
        <f>IF(Hesap!D91="kaldi","",SUMPRODUCT($C$13:$AB$13,Puanlar!C91:AB91)/5)</f>
        <v>45.4</v>
      </c>
      <c r="D108" s="8">
        <f>IF(Hesap!D91="kaldi","",SUMPRODUCT($C$14:$AB$14,Puanlar!C91:AB91)/5)</f>
        <v>45.88441558441558</v>
      </c>
      <c r="E108" s="8">
        <f>IF(Hesap!D91="kaldi","",SUMPRODUCT($C$15:$AB$15,Puanlar!C91:AB91)/5)</f>
        <v>45.70441558441559</v>
      </c>
      <c r="F108" s="8">
        <f>IF(Hesap!D91="kaldi","",SUMPRODUCT($C$16:$AB$16,Puanlar!C91:AB91)/5)</f>
        <v>43.95201558441558</v>
      </c>
      <c r="G108" s="8">
        <f>IF(Hesap!D91="kaldi","",SUMPRODUCT($C$17:$AB$17,Puanlar!C91:AB91)/5)</f>
        <v>49.3235284848485</v>
      </c>
      <c r="H108" s="5">
        <f>IF(C108="","",1+COUNTIF($C$22:$C$153,"&gt;"&amp;C108))</f>
        <v>88</v>
      </c>
      <c r="I108" s="5">
        <f>IF(D108="","",1+COUNTIF($D$22:$D$153,"&gt;"&amp;D108))</f>
        <v>80</v>
      </c>
      <c r="J108" s="5">
        <f>IF(E108="","",1+COUNTIF($E$22:$E$153,"&gt;"&amp;E108))</f>
        <v>79</v>
      </c>
      <c r="K108" s="5">
        <f>IF(F108="","",1+COUNTIF($F$22:$F$153,"&gt;"&amp;F108))</f>
        <v>96</v>
      </c>
      <c r="L108" s="5">
        <f>IF(G108="","",1+COUNTIF($G$22:$G$153,"&gt;"&amp;G108))</f>
        <v>76</v>
      </c>
      <c r="M108" s="5">
        <f>IF(H108="","",MIN(H108:L108))</f>
        <v>76</v>
      </c>
      <c r="N108" s="5">
        <f>IF(H108="","",MAX(H108:L108))</f>
        <v>96</v>
      </c>
    </row>
    <row r="109">
      <c r="A109" s="7" t="str">
        <f>Secenekler!A92</f>
        <v>devpanel-b</v>
      </c>
      <c r="B109" s="7" t="str">
        <f>Secenekler!C92</f>
        <v>20 alanlı form şemasından JSON ve React dışa aktarım işi</v>
      </c>
      <c r="C109" s="8">
        <f>IF(Hesap!D92="kaldi","",SUMPRODUCT($C$13:$AB$13,Puanlar!C92:AB92)/5)</f>
        <v>41.4</v>
      </c>
      <c r="D109" s="8">
        <f>IF(Hesap!D92="kaldi","",SUMPRODUCT($C$14:$AB$14,Puanlar!C92:AB92)/5)</f>
        <v>41.08441558441558</v>
      </c>
      <c r="E109" s="8">
        <f>IF(Hesap!D92="kaldi","",SUMPRODUCT($C$15:$AB$15,Puanlar!C92:AB92)/5)</f>
        <v>40.70441558441559</v>
      </c>
      <c r="F109" s="8">
        <f>IF(Hesap!D92="kaldi","",SUMPRODUCT($C$16:$AB$16,Puanlar!C92:AB92)/5)</f>
        <v>39.35601558441558</v>
      </c>
      <c r="G109" s="8">
        <f>IF(Hesap!D92="kaldi","",SUMPRODUCT($C$17:$AB$17,Puanlar!C92:AB92)/5)</f>
        <v>43.21319515151516</v>
      </c>
      <c r="H109" s="5">
        <f>IF(C109="","",1+COUNTIF($C$22:$C$153,"&gt;"&amp;C109))</f>
        <v>107</v>
      </c>
      <c r="I109" s="5">
        <f>IF(D109="","",1+COUNTIF($D$22:$D$153,"&gt;"&amp;D109))</f>
        <v>106</v>
      </c>
      <c r="J109" s="5">
        <f>IF(E109="","",1+COUNTIF($E$22:$E$153,"&gt;"&amp;E109))</f>
        <v>105</v>
      </c>
      <c r="K109" s="5">
        <f>IF(F109="","",1+COUNTIF($F$22:$F$153,"&gt;"&amp;F109))</f>
        <v>109</v>
      </c>
      <c r="L109" s="5">
        <f>IF(G109="","",1+COUNTIF($G$22:$G$153,"&gt;"&amp;G109))</f>
        <v>108</v>
      </c>
      <c r="M109" s="5">
        <f>IF(H109="","",MIN(H109:L109))</f>
        <v>105</v>
      </c>
      <c r="N109" s="5">
        <f>IF(H109="","",MAX(H109:L109))</f>
        <v>109</v>
      </c>
    </row>
    <row r="110">
      <c r="A110" s="7" t="str">
        <f>Secenekler!A93</f>
        <v>devpanel-c</v>
      </c>
      <c r="B110" s="7" t="str">
        <f>Secenekler!C93</f>
        <v>Yönetim paneli şablonu, 49 $ lisans</v>
      </c>
      <c r="C110" s="8">
        <f>IF(Hesap!D93="kaldi","",SUMPRODUCT($C$13:$AB$13,Puanlar!C93:AB93)/5)</f>
        <v>52.6</v>
      </c>
      <c r="D110" s="8">
        <f>IF(Hesap!D93="kaldi","",SUMPRODUCT($C$14:$AB$14,Puanlar!C93:AB93)/5)</f>
        <v>50.43441558441558</v>
      </c>
      <c r="E110" s="8">
        <f>IF(Hesap!D93="kaldi","",SUMPRODUCT($C$15:$AB$15,Puanlar!C93:AB93)/5)</f>
        <v>49.18441558441558</v>
      </c>
      <c r="F110" s="8">
        <f>IF(Hesap!D93="kaldi","",SUMPRODUCT($C$16:$AB$16,Puanlar!C93:AB93)/5)</f>
        <v>53.00941558441557</v>
      </c>
      <c r="G110" s="8">
        <f>IF(Hesap!D93="kaldi","",SUMPRODUCT($C$17:$AB$17,Puanlar!C93:AB93)/5)</f>
        <v>52.64491515151516</v>
      </c>
      <c r="H110" s="5">
        <f>IF(C110="","",1+COUNTIF($C$22:$C$153,"&gt;"&amp;C110))</f>
        <v>39</v>
      </c>
      <c r="I110" s="5">
        <f>IF(D110="","",1+COUNTIF($D$22:$D$153,"&gt;"&amp;D110))</f>
        <v>51</v>
      </c>
      <c r="J110" s="5">
        <f>IF(E110="","",1+COUNTIF($E$22:$E$153,"&gt;"&amp;E110))</f>
        <v>54</v>
      </c>
      <c r="K110" s="5">
        <f>IF(F110="","",1+COUNTIF($F$22:$F$153,"&gt;"&amp;F110))</f>
        <v>43</v>
      </c>
      <c r="L110" s="5">
        <f>IF(G110="","",1+COUNTIF($G$22:$G$153,"&gt;"&amp;G110))</f>
        <v>50</v>
      </c>
      <c r="M110" s="5">
        <f>IF(H110="","",MIN(H110:L110))</f>
        <v>39</v>
      </c>
      <c r="N110" s="5">
        <f>IF(H110="","",MAX(H110:L110))</f>
        <v>54</v>
      </c>
    </row>
    <row r="111">
      <c r="A111" s="7" t="str">
        <f>Secenekler!A94</f>
        <v>e-menum-a</v>
      </c>
      <c r="B111" s="7" t="str">
        <f>Secenekler!C94</f>
        <v>Tek kiracılı white-label kurulum paketi</v>
      </c>
      <c r="C111" s="8">
        <f>IF(Hesap!D94="kaldi","",SUMPRODUCT($C$13:$AB$13,Puanlar!C94:AB94)/5)</f>
        <v>45.2</v>
      </c>
      <c r="D111" s="8">
        <f>IF(Hesap!D94="kaldi","",SUMPRODUCT($C$14:$AB$14,Puanlar!C94:AB94)/5)</f>
        <v>45.47987012987013</v>
      </c>
      <c r="E111" s="8">
        <f>IF(Hesap!D94="kaldi","",SUMPRODUCT($C$15:$AB$15,Puanlar!C94:AB94)/5)</f>
        <v>45.58987012987014</v>
      </c>
      <c r="F111" s="8">
        <f>IF(Hesap!D94="kaldi","",SUMPRODUCT($C$16:$AB$16,Puanlar!C94:AB94)/5)</f>
        <v>44.97967012987014</v>
      </c>
      <c r="G111" s="8">
        <f>IF(Hesap!D94="kaldi","",SUMPRODUCT($C$17:$AB$17,Puanlar!C94:AB94)/5)</f>
        <v>46.91142484848486</v>
      </c>
      <c r="H111" s="5">
        <f>IF(C111="","",1+COUNTIF($C$22:$C$153,"&gt;"&amp;C111))</f>
        <v>89</v>
      </c>
      <c r="I111" s="5">
        <f>IF(D111="","",1+COUNTIF($D$22:$D$153,"&gt;"&amp;D111))</f>
        <v>86</v>
      </c>
      <c r="J111" s="5">
        <f>IF(E111="","",1+COUNTIF($E$22:$E$153,"&gt;"&amp;E111))</f>
        <v>83</v>
      </c>
      <c r="K111" s="5">
        <f>IF(F111="","",1+COUNTIF($F$22:$F$153,"&gt;"&amp;F111))</f>
        <v>90</v>
      </c>
      <c r="L111" s="5">
        <f>IF(G111="","",1+COUNTIF($G$22:$G$153,"&gt;"&amp;G111))</f>
        <v>94</v>
      </c>
      <c r="M111" s="5">
        <f>IF(H111="","",MIN(H111:L111))</f>
        <v>83</v>
      </c>
      <c r="N111" s="5">
        <f>IF(H111="","",MAX(H111:L111))</f>
        <v>94</v>
      </c>
    </row>
    <row r="112">
      <c r="A112" s="7" t="str">
        <f>Secenekler!A95</f>
        <v>e-menum-b</v>
      </c>
      <c r="B112" s="7" t="str">
        <f>Secenekler!C95</f>
        <v>Çok şubeli markaya yönetilen menü güncelleme hizmeti</v>
      </c>
      <c r="C112" s="8">
        <f>IF(Hesap!D95="kaldi","",SUMPRODUCT($C$13:$AB$13,Puanlar!C95:AB95)/5)</f>
        <v>48.4</v>
      </c>
      <c r="D112" s="8">
        <f>IF(Hesap!D95="kaldi","",SUMPRODUCT($C$14:$AB$14,Puanlar!C95:AB95)/5)</f>
        <v>49.30259740259741</v>
      </c>
      <c r="E112" s="8">
        <f>IF(Hesap!D95="kaldi","",SUMPRODUCT($C$15:$AB$15,Puanlar!C95:AB95)/5)</f>
        <v>49.7025974025974</v>
      </c>
      <c r="F112" s="8">
        <f>IF(Hesap!D95="kaldi","",SUMPRODUCT($C$16:$AB$16,Puanlar!C95:AB95)/5)</f>
        <v>45.9445974025974</v>
      </c>
      <c r="G112" s="8">
        <f>IF(Hesap!D95="kaldi","",SUMPRODUCT($C$17:$AB$17,Puanlar!C95:AB95)/5)</f>
        <v>50.38433636363637</v>
      </c>
      <c r="H112" s="5">
        <f>IF(C112="","",1+COUNTIF($C$22:$C$153,"&gt;"&amp;C112))</f>
        <v>71</v>
      </c>
      <c r="I112" s="5">
        <f>IF(D112="","",1+COUNTIF($D$22:$D$153,"&gt;"&amp;D112))</f>
        <v>62</v>
      </c>
      <c r="J112" s="5">
        <f>IF(E112="","",1+COUNTIF($E$22:$E$153,"&gt;"&amp;E112))</f>
        <v>52</v>
      </c>
      <c r="K112" s="5">
        <f>IF(F112="","",1+COUNTIF($F$22:$F$153,"&gt;"&amp;F112))</f>
        <v>86</v>
      </c>
      <c r="L112" s="5">
        <f>IF(G112="","",1+COUNTIF($G$22:$G$153,"&gt;"&amp;G112))</f>
        <v>69</v>
      </c>
      <c r="M112" s="5">
        <f>IF(H112="","",MIN(H112:L112))</f>
        <v>52</v>
      </c>
      <c r="N112" s="5">
        <f>IF(H112="","",MAX(H112:L112))</f>
        <v>86</v>
      </c>
    </row>
    <row r="113">
      <c r="A113" s="7" t="str">
        <f>Secenekler!A96</f>
        <v>e-menum-c</v>
      </c>
      <c r="B113" s="7" t="str">
        <f>Secenekler!C96</f>
        <v>Kaynak kod ve belge paketi (depo ve topluluk)</v>
      </c>
      <c r="C113" s="8">
        <f>IF(Hesap!D96="kaldi","",SUMPRODUCT($C$13:$AB$13,Puanlar!C96:AB96)/5)</f>
        <v>54.2</v>
      </c>
      <c r="D113" s="8">
        <f>IF(Hesap!D96="kaldi","",SUMPRODUCT($C$14:$AB$14,Puanlar!C96:AB96)/5)</f>
        <v>52.37987012987013</v>
      </c>
      <c r="E113" s="8">
        <f>IF(Hesap!D96="kaldi","",SUMPRODUCT($C$15:$AB$15,Puanlar!C96:AB96)/5)</f>
        <v>50.96987012987013</v>
      </c>
      <c r="F113" s="8">
        <f>IF(Hesap!D96="kaldi","",SUMPRODUCT($C$16:$AB$16,Puanlar!C96:AB96)/5)</f>
        <v>57.01607012987013</v>
      </c>
      <c r="G113" s="8">
        <f>IF(Hesap!D96="kaldi","",SUMPRODUCT($C$17:$AB$17,Puanlar!C96:AB96)/5)</f>
        <v>54.89791151515152</v>
      </c>
      <c r="H113" s="5">
        <f>IF(C113="","",1+COUNTIF($C$22:$C$153,"&gt;"&amp;C113))</f>
        <v>27</v>
      </c>
      <c r="I113" s="5">
        <f>IF(D113="","",1+COUNTIF($D$22:$D$153,"&gt;"&amp;D113))</f>
        <v>35</v>
      </c>
      <c r="J113" s="5">
        <f>IF(E113="","",1+COUNTIF($E$22:$E$153,"&gt;"&amp;E113))</f>
        <v>37</v>
      </c>
      <c r="K113" s="5">
        <f>IF(F113="","",1+COUNTIF($F$22:$F$153,"&gt;"&amp;F113))</f>
        <v>23</v>
      </c>
      <c r="L113" s="5">
        <f>IF(G113="","",1+COUNTIF($G$22:$G$153,"&gt;"&amp;G113))</f>
        <v>32</v>
      </c>
      <c r="M113" s="5">
        <f>IF(H113="","",MIN(H113:L113))</f>
        <v>23</v>
      </c>
      <c r="N113" s="5">
        <f>IF(H113="","",MAX(H113:L113))</f>
        <v>37</v>
      </c>
    </row>
    <row r="114">
      <c r="A114" s="7" t="str">
        <f>Secenekler!A97</f>
        <v>eklenti-firsat-panosu-a</v>
      </c>
      <c r="B114" s="7" t="str">
        <f>Secenekler!C97</f>
        <v>Bülten Pro: aylık eklenti fırsat bülteni</v>
      </c>
      <c r="C114" s="8">
        <f>IF(Hesap!D97="kaldi","",SUMPRODUCT($C$13:$AB$13,Puanlar!C97:AB97)/5)</f>
        <v>56.4</v>
      </c>
      <c r="D114" s="8">
        <f>IF(Hesap!D97="kaldi","",SUMPRODUCT($C$14:$AB$14,Puanlar!C97:AB97)/5)</f>
        <v>54.68896103896104</v>
      </c>
      <c r="E114" s="8">
        <f>IF(Hesap!D97="kaldi","",SUMPRODUCT($C$15:$AB$15,Puanlar!C97:AB97)/5)</f>
        <v>53.03896103896104</v>
      </c>
      <c r="F114" s="8">
        <f>IF(Hesap!D97="kaldi","",SUMPRODUCT($C$16:$AB$16,Puanlar!C97:AB97)/5)</f>
        <v>58.51196103896103</v>
      </c>
      <c r="G114" s="8">
        <f>IF(Hesap!D97="kaldi","",SUMPRODUCT($C$17:$AB$17,Puanlar!C97:AB97)/5)</f>
        <v>57.41154545454545</v>
      </c>
      <c r="H114" s="5">
        <f>IF(C114="","",1+COUNTIF($C$22:$C$153,"&gt;"&amp;C114))</f>
        <v>12</v>
      </c>
      <c r="I114" s="5">
        <f>IF(D114="","",1+COUNTIF($D$22:$D$153,"&gt;"&amp;D114))</f>
        <v>18</v>
      </c>
      <c r="J114" s="5">
        <f>IF(E114="","",1+COUNTIF($E$22:$E$153,"&gt;"&amp;E114))</f>
        <v>23</v>
      </c>
      <c r="K114" s="5">
        <f>IF(F114="","",1+COUNTIF($F$22:$F$153,"&gt;"&amp;F114))</f>
        <v>12</v>
      </c>
      <c r="L114" s="5">
        <f>IF(G114="","",1+COUNTIF($G$22:$G$153,"&gt;"&amp;G114))</f>
        <v>12</v>
      </c>
      <c r="M114" s="5">
        <f>IF(H114="","",MIN(H114:L114))</f>
        <v>12</v>
      </c>
      <c r="N114" s="5">
        <f>IF(H114="","",MAX(H114:L114))</f>
        <v>23</v>
      </c>
    </row>
    <row r="115">
      <c r="A115" s="7" t="str">
        <f>Secenekler!A98</f>
        <v>eklenti-firsat-panosu-b</v>
      </c>
      <c r="B115" s="7" t="str">
        <f>Secenekler!C98</f>
        <v>Keşif Paketi: tek seferlik eklenti fırsat seti</v>
      </c>
      <c r="C115" s="8">
        <f>IF(Hesap!D98="kaldi","",SUMPRODUCT($C$13:$AB$13,Puanlar!C98:AB98)/5)</f>
        <v>54.2</v>
      </c>
      <c r="D115" s="8">
        <f>IF(Hesap!D98="kaldi","",SUMPRODUCT($C$14:$AB$14,Puanlar!C98:AB98)/5)</f>
        <v>51.43701298701298</v>
      </c>
      <c r="E115" s="8">
        <f>IF(Hesap!D98="kaldi","",SUMPRODUCT($C$15:$AB$15,Puanlar!C98:AB98)/5)</f>
        <v>49.04701298701298</v>
      </c>
      <c r="F115" s="8">
        <f>IF(Hesap!D98="kaldi","",SUMPRODUCT($C$16:$AB$16,Puanlar!C98:AB98)/5)</f>
        <v>57.19681298701299</v>
      </c>
      <c r="G115" s="8">
        <f>IF(Hesap!D98="kaldi","",SUMPRODUCT($C$17:$AB$17,Puanlar!C98:AB98)/5)</f>
        <v>54.22649151515152</v>
      </c>
      <c r="H115" s="5">
        <f>IF(C115="","",1+COUNTIF($C$22:$C$153,"&gt;"&amp;C115))</f>
        <v>27</v>
      </c>
      <c r="I115" s="5">
        <f>IF(D115="","",1+COUNTIF($D$22:$D$153,"&gt;"&amp;D115))</f>
        <v>40</v>
      </c>
      <c r="J115" s="5">
        <f>IF(E115="","",1+COUNTIF($E$22:$E$153,"&gt;"&amp;E115))</f>
        <v>59</v>
      </c>
      <c r="K115" s="5">
        <f>IF(F115="","",1+COUNTIF($F$22:$F$153,"&gt;"&amp;F115))</f>
        <v>22</v>
      </c>
      <c r="L115" s="5">
        <f>IF(G115="","",1+COUNTIF($G$22:$G$153,"&gt;"&amp;G115))</f>
        <v>35</v>
      </c>
      <c r="M115" s="5">
        <f>IF(H115="","",MIN(H115:L115))</f>
        <v>22</v>
      </c>
      <c r="N115" s="5">
        <f>IF(H115="","",MAX(H115:L115))</f>
        <v>59</v>
      </c>
    </row>
    <row r="116">
      <c r="A116" s="7" t="str">
        <f>Secenekler!A99</f>
        <v>eklenti-firsat-panosu-c</v>
      </c>
      <c r="B116" s="7" t="str">
        <f>Secenekler!C99</f>
        <v>Ajans lisansı: ürün hattı fırsat paketi</v>
      </c>
      <c r="C116" s="8">
        <f>IF(Hesap!D99="kaldi","",SUMPRODUCT($C$13:$AB$13,Puanlar!C99:AB99)/5)</f>
        <v>46.4</v>
      </c>
      <c r="D116" s="8">
        <f>IF(Hesap!D99="kaldi","",SUMPRODUCT($C$14:$AB$14,Puanlar!C99:AB99)/5)</f>
        <v>45.83636363636364</v>
      </c>
      <c r="E116" s="8">
        <f>IF(Hesap!D99="kaldi","",SUMPRODUCT($C$15:$AB$15,Puanlar!C99:AB99)/5)</f>
        <v>44.71636363636363</v>
      </c>
      <c r="F116" s="8">
        <f>IF(Hesap!D99="kaldi","",SUMPRODUCT($C$16:$AB$16,Puanlar!C99:AB99)/5)</f>
        <v>46.00476363636363</v>
      </c>
      <c r="G116" s="8">
        <f>IF(Hesap!D99="kaldi","",SUMPRODUCT($C$17:$AB$17,Puanlar!C99:AB99)/5)</f>
        <v>49.18569575757576</v>
      </c>
      <c r="H116" s="5">
        <f>IF(C116="","",1+COUNTIF($C$22:$C$153,"&gt;"&amp;C116))</f>
        <v>80</v>
      </c>
      <c r="I116" s="5">
        <f>IF(D116="","",1+COUNTIF($D$22:$D$153,"&gt;"&amp;D116))</f>
        <v>81</v>
      </c>
      <c r="J116" s="5">
        <f>IF(E116="","",1+COUNTIF($E$22:$E$153,"&gt;"&amp;E116))</f>
        <v>86</v>
      </c>
      <c r="K116" s="5">
        <f>IF(F116="","",1+COUNTIF($F$22:$F$153,"&gt;"&amp;F116))</f>
        <v>84</v>
      </c>
      <c r="L116" s="5">
        <f>IF(G116="","",1+COUNTIF($G$22:$G$153,"&gt;"&amp;G116))</f>
        <v>78</v>
      </c>
      <c r="M116" s="5">
        <f>IF(H116="","",MIN(H116:L116))</f>
        <v>78</v>
      </c>
      <c r="N116" s="5">
        <f>IF(H116="","",MAX(H116:L116))</f>
        <v>86</v>
      </c>
    </row>
    <row r="117">
      <c r="A117" s="7" t="str">
        <f>Secenekler!A100</f>
        <v>cok-dilli-arayuz-a</v>
      </c>
      <c r="B117" s="7" t="str">
        <f>Secenekler!C100</f>
        <v>Çok dilli site denetimi: sabit fiyatlı paket</v>
      </c>
      <c r="C117" s="8">
        <f>IF(Hesap!D100="kaldi","",SUMPRODUCT($C$13:$AB$13,Puanlar!C100:AB100)/5)</f>
        <v>57</v>
      </c>
      <c r="D117" s="8">
        <f>IF(Hesap!D100="kaldi","",SUMPRODUCT($C$14:$AB$14,Puanlar!C100:AB100)/5)</f>
        <v>56.99350649350649</v>
      </c>
      <c r="E117" s="8">
        <f>IF(Hesap!D100="kaldi","",SUMPRODUCT($C$15:$AB$15,Puanlar!C100:AB100)/5)</f>
        <v>56.39350649350649</v>
      </c>
      <c r="F117" s="8">
        <f>IF(Hesap!D100="kaldi","",SUMPRODUCT($C$16:$AB$16,Puanlar!C100:AB100)/5)</f>
        <v>59.03550649350649</v>
      </c>
      <c r="G117" s="8">
        <f>IF(Hesap!D100="kaldi","",SUMPRODUCT($C$17:$AB$17,Puanlar!C100:AB100)/5)</f>
        <v>58.84667575757577</v>
      </c>
      <c r="H117" s="5">
        <f>IF(C117="","",1+COUNTIF($C$22:$C$153,"&gt;"&amp;C117))</f>
        <v>8</v>
      </c>
      <c r="I117" s="5">
        <f>IF(D117="","",1+COUNTIF($D$22:$D$153,"&gt;"&amp;D117))</f>
        <v>9</v>
      </c>
      <c r="J117" s="5">
        <f>IF(E117="","",1+COUNTIF($E$22:$E$153,"&gt;"&amp;E117))</f>
        <v>11</v>
      </c>
      <c r="K117" s="5">
        <f>IF(F117="","",1+COUNTIF($F$22:$F$153,"&gt;"&amp;F117))</f>
        <v>8</v>
      </c>
      <c r="L117" s="5">
        <f>IF(G117="","",1+COUNTIF($G$22:$G$153,"&gt;"&amp;G117))</f>
        <v>5</v>
      </c>
      <c r="M117" s="5">
        <f>IF(H117="","",MIN(H117:L117))</f>
        <v>5</v>
      </c>
      <c r="N117" s="5">
        <f>IF(H117="","",MAX(H117:L117))</f>
        <v>11</v>
      </c>
    </row>
    <row r="118">
      <c r="A118" s="7" t="str">
        <f>Secenekler!A101</f>
        <v>cok-dilli-arayuz-b</v>
      </c>
      <c r="B118" s="7" t="str">
        <f>Secenekler!C101</f>
        <v>Kontrol listesi PDF ve ücretsiz Atlas modülü</v>
      </c>
      <c r="C118" s="8">
        <f>IF(Hesap!D101="kaldi","",SUMPRODUCT($C$13:$AB$13,Puanlar!C101:AB101)/5)</f>
        <v>52.4</v>
      </c>
      <c r="D118" s="8">
        <f>IF(Hesap!D101="kaldi","",SUMPRODUCT($C$14:$AB$14,Puanlar!C101:AB101)/5)</f>
        <v>49.77077922077922</v>
      </c>
      <c r="E118" s="8">
        <f>IF(Hesap!D101="kaldi","",SUMPRODUCT($C$15:$AB$15,Puanlar!C101:AB101)/5)</f>
        <v>47.14077922077922</v>
      </c>
      <c r="F118" s="8">
        <f>IF(Hesap!D101="kaldi","",SUMPRODUCT($C$16:$AB$16,Puanlar!C101:AB101)/5)</f>
        <v>57.41737922077922</v>
      </c>
      <c r="G118" s="8">
        <f>IF(Hesap!D101="kaldi","",SUMPRODUCT($C$17:$AB$17,Puanlar!C101:AB101)/5)</f>
        <v>54.18363757575757</v>
      </c>
      <c r="H118" s="5">
        <f>IF(C118="","",1+COUNTIF($C$22:$C$153,"&gt;"&amp;C118))</f>
        <v>43</v>
      </c>
      <c r="I118" s="5">
        <f>IF(D118="","",1+COUNTIF($D$22:$D$153,"&gt;"&amp;D118))</f>
        <v>59</v>
      </c>
      <c r="J118" s="5">
        <f>IF(E118="","",1+COUNTIF($E$22:$E$153,"&gt;"&amp;E118))</f>
        <v>68</v>
      </c>
      <c r="K118" s="5">
        <f>IF(F118="","",1+COUNTIF($F$22:$F$153,"&gt;"&amp;F118))</f>
        <v>19</v>
      </c>
      <c r="L118" s="5">
        <f>IF(G118="","",1+COUNTIF($G$22:$G$153,"&gt;"&amp;G118))</f>
        <v>37</v>
      </c>
      <c r="M118" s="5">
        <f>IF(H118="","",MIN(H118:L118))</f>
        <v>19</v>
      </c>
      <c r="N118" s="5">
        <f>IF(H118="","",MAX(H118:L118))</f>
        <v>68</v>
      </c>
    </row>
    <row r="119">
      <c r="A119" s="7" t="str">
        <f>Secenekler!A102</f>
        <v>cok-dilli-arayuz-c</v>
      </c>
      <c r="B119" s="7" t="str">
        <f>Secenekler!C102</f>
        <v>SaaS ekibine ücretli pilot: yerelleştirme QA kapısı</v>
      </c>
      <c r="C119" s="8">
        <f>IF(Hesap!D102="kaldi","",SUMPRODUCT($C$13:$AB$13,Puanlar!C102:AB102)/5)</f>
        <v>45.2</v>
      </c>
      <c r="D119" s="8">
        <f>IF(Hesap!D102="kaldi","",SUMPRODUCT($C$14:$AB$14,Puanlar!C102:AB102)/5)</f>
        <v>45.59805194805195</v>
      </c>
      <c r="E119" s="8">
        <f>IF(Hesap!D102="kaldi","",SUMPRODUCT($C$15:$AB$15,Puanlar!C102:AB102)/5)</f>
        <v>45.74805194805194</v>
      </c>
      <c r="F119" s="8">
        <f>IF(Hesap!D102="kaldi","",SUMPRODUCT($C$16:$AB$16,Puanlar!C102:AB102)/5)</f>
        <v>44.57505194805194</v>
      </c>
      <c r="G119" s="8">
        <f>IF(Hesap!D102="kaldi","",SUMPRODUCT($C$17:$AB$17,Puanlar!C102:AB102)/5)</f>
        <v>47.50447272727273</v>
      </c>
      <c r="H119" s="5">
        <f>IF(C119="","",1+COUNTIF($C$22:$C$153,"&gt;"&amp;C119))</f>
        <v>89</v>
      </c>
      <c r="I119" s="5">
        <f>IF(D119="","",1+COUNTIF($D$22:$D$153,"&gt;"&amp;D119))</f>
        <v>84</v>
      </c>
      <c r="J119" s="5">
        <f>IF(E119="","",1+COUNTIF($E$22:$E$153,"&gt;"&amp;E119))</f>
        <v>77</v>
      </c>
      <c r="K119" s="5">
        <f>IF(F119="","",1+COUNTIF($F$22:$F$153,"&gt;"&amp;F119))</f>
        <v>93</v>
      </c>
      <c r="L119" s="5">
        <f>IF(G119="","",1+COUNTIF($G$22:$G$153,"&gt;"&amp;G119))</f>
        <v>91</v>
      </c>
      <c r="M119" s="5">
        <f>IF(H119="","",MIN(H119:L119))</f>
        <v>77</v>
      </c>
      <c r="N119" s="5">
        <f>IF(H119="","",MAX(H119:L119))</f>
        <v>93</v>
      </c>
    </row>
    <row r="120">
      <c r="A120" s="7" t="str">
        <f>Secenekler!A103</f>
        <v>b2b-pazar-yeri-hizmeti-a</v>
      </c>
      <c r="B120" s="7" t="str">
        <f>Secenekler!C103</f>
        <v>Soğuk başlangıç teşhis paketi (2 hafta)</v>
      </c>
      <c r="C120" s="8" t="str">
        <f>IF(Hesap!D103="kaldi","",SUMPRODUCT($C$13:$AB$13,Puanlar!C103:AB103)/5)</f>
        <v/>
      </c>
      <c r="D120" s="8" t="str">
        <f>IF(Hesap!D103="kaldi","",SUMPRODUCT($C$14:$AB$14,Puanlar!C103:AB103)/5)</f>
        <v/>
      </c>
      <c r="E120" s="8" t="str">
        <f>IF(Hesap!D103="kaldi","",SUMPRODUCT($C$15:$AB$15,Puanlar!C103:AB103)/5)</f>
        <v/>
      </c>
      <c r="F120" s="8" t="str">
        <f>IF(Hesap!D103="kaldi","",SUMPRODUCT($C$16:$AB$16,Puanlar!C103:AB103)/5)</f>
        <v/>
      </c>
      <c r="G120" s="8" t="str">
        <f>IF(Hesap!D103="kaldi","",SUMPRODUCT($C$17:$AB$17,Puanlar!C103:AB103)/5)</f>
        <v/>
      </c>
      <c r="H120" s="5" t="str">
        <f>IF(C120="","",1+COUNTIF($C$22:$C$153,"&gt;"&amp;C120))</f>
        <v/>
      </c>
      <c r="I120" s="5" t="str">
        <f>IF(D120="","",1+COUNTIF($D$22:$D$153,"&gt;"&amp;D120))</f>
        <v/>
      </c>
      <c r="J120" s="5" t="str">
        <f>IF(E120="","",1+COUNTIF($E$22:$E$153,"&gt;"&amp;E120))</f>
        <v/>
      </c>
      <c r="K120" s="5" t="str">
        <f>IF(F120="","",1+COUNTIF($F$22:$F$153,"&gt;"&amp;F120))</f>
        <v/>
      </c>
      <c r="L120" s="5" t="str">
        <f>IF(G120="","",1+COUNTIF($G$22:$G$153,"&gt;"&amp;G120))</f>
        <v/>
      </c>
      <c r="M120" s="5" t="str">
        <f>IF(H120="","",MIN(H120:L120))</f>
        <v/>
      </c>
      <c r="N120" s="5" t="str">
        <f>IF(H120="","",MAX(H120:L120))</f>
        <v/>
      </c>
    </row>
    <row r="121">
      <c r="A121" s="7" t="str">
        <f>Secenekler!A104</f>
        <v>b2b-pazar-yeri-hizmeti-b</v>
      </c>
      <c r="B121" s="7" t="str">
        <f>Secenekler!C104</f>
        <v>Tek kategori talep ve teklif doğrulama raporu</v>
      </c>
      <c r="C121" s="8" t="str">
        <f>IF(Hesap!D104="kaldi","",SUMPRODUCT($C$13:$AB$13,Puanlar!C104:AB104)/5)</f>
        <v/>
      </c>
      <c r="D121" s="8" t="str">
        <f>IF(Hesap!D104="kaldi","",SUMPRODUCT($C$14:$AB$14,Puanlar!C104:AB104)/5)</f>
        <v/>
      </c>
      <c r="E121" s="8" t="str">
        <f>IF(Hesap!D104="kaldi","",SUMPRODUCT($C$15:$AB$15,Puanlar!C104:AB104)/5)</f>
        <v/>
      </c>
      <c r="F121" s="8" t="str">
        <f>IF(Hesap!D104="kaldi","",SUMPRODUCT($C$16:$AB$16,Puanlar!C104:AB104)/5)</f>
        <v/>
      </c>
      <c r="G121" s="8" t="str">
        <f>IF(Hesap!D104="kaldi","",SUMPRODUCT($C$17:$AB$17,Puanlar!C104:AB104)/5)</f>
        <v/>
      </c>
      <c r="H121" s="5" t="str">
        <f>IF(C121="","",1+COUNTIF($C$22:$C$153,"&gt;"&amp;C121))</f>
        <v/>
      </c>
      <c r="I121" s="5" t="str">
        <f>IF(D121="","",1+COUNTIF($D$22:$D$153,"&gt;"&amp;D121))</f>
        <v/>
      </c>
      <c r="J121" s="5" t="str">
        <f>IF(E121="","",1+COUNTIF($E$22:$E$153,"&gt;"&amp;E121))</f>
        <v/>
      </c>
      <c r="K121" s="5" t="str">
        <f>IF(F121="","",1+COUNTIF($F$22:$F$153,"&gt;"&amp;F121))</f>
        <v/>
      </c>
      <c r="L121" s="5" t="str">
        <f>IF(G121="","",1+COUNTIF($G$22:$G$153,"&gt;"&amp;G121))</f>
        <v/>
      </c>
      <c r="M121" s="5" t="str">
        <f>IF(H121="","",MIN(H121:L121))</f>
        <v/>
      </c>
      <c r="N121" s="5" t="str">
        <f>IF(H121="","",MAX(H121:L121))</f>
        <v/>
      </c>
    </row>
    <row r="122">
      <c r="A122" s="7" t="str">
        <f>Secenekler!A105</f>
        <v>b2b-pazar-yeri-hizmeti-c</v>
      </c>
      <c r="B122" s="7" t="str">
        <f>Secenekler!C105</f>
        <v>Tam paket: strateji, ekran seti, backlog ve 90 gün koçluk</v>
      </c>
      <c r="C122" s="8" t="str">
        <f>IF(Hesap!D105="kaldi","",SUMPRODUCT($C$13:$AB$13,Puanlar!C105:AB105)/5)</f>
        <v/>
      </c>
      <c r="D122" s="8" t="str">
        <f>IF(Hesap!D105="kaldi","",SUMPRODUCT($C$14:$AB$14,Puanlar!C105:AB105)/5)</f>
        <v/>
      </c>
      <c r="E122" s="8" t="str">
        <f>IF(Hesap!D105="kaldi","",SUMPRODUCT($C$15:$AB$15,Puanlar!C105:AB105)/5)</f>
        <v/>
      </c>
      <c r="F122" s="8" t="str">
        <f>IF(Hesap!D105="kaldi","",SUMPRODUCT($C$16:$AB$16,Puanlar!C105:AB105)/5)</f>
        <v/>
      </c>
      <c r="G122" s="8" t="str">
        <f>IF(Hesap!D105="kaldi","",SUMPRODUCT($C$17:$AB$17,Puanlar!C105:AB105)/5)</f>
        <v/>
      </c>
      <c r="H122" s="5" t="str">
        <f>IF(C122="","",1+COUNTIF($C$22:$C$153,"&gt;"&amp;C122))</f>
        <v/>
      </c>
      <c r="I122" s="5" t="str">
        <f>IF(D122="","",1+COUNTIF($D$22:$D$153,"&gt;"&amp;D122))</f>
        <v/>
      </c>
      <c r="J122" s="5" t="str">
        <f>IF(E122="","",1+COUNTIF($E$22:$E$153,"&gt;"&amp;E122))</f>
        <v/>
      </c>
      <c r="K122" s="5" t="str">
        <f>IF(F122="","",1+COUNTIF($F$22:$F$153,"&gt;"&amp;F122))</f>
        <v/>
      </c>
      <c r="L122" s="5" t="str">
        <f>IF(G122="","",1+COUNTIF($G$22:$G$153,"&gt;"&amp;G122))</f>
        <v/>
      </c>
      <c r="M122" s="5" t="str">
        <f>IF(H122="","",MIN(H122:L122))</f>
        <v/>
      </c>
      <c r="N122" s="5" t="str">
        <f>IF(H122="","",MAX(H122:L122))</f>
        <v/>
      </c>
    </row>
    <row r="123">
      <c r="A123" s="7" t="str">
        <f>Secenekler!A106</f>
        <v>lifeos-a</v>
      </c>
      <c r="B123" s="7" t="str">
        <f>Secenekler!C106</f>
        <v>Günün Framework'ü: ücretsiz yan panel ve çalışma kâğıdı paketi</v>
      </c>
      <c r="C123" s="8">
        <f>IF(Hesap!D106="kaldi","",SUMPRODUCT($C$13:$AB$13,Puanlar!C106:AB106)/5)</f>
        <v>53.8</v>
      </c>
      <c r="D123" s="8">
        <f>IF(Hesap!D106="kaldi","",SUMPRODUCT($C$14:$AB$14,Puanlar!C106:AB106)/5)</f>
        <v>51.70714285714286</v>
      </c>
      <c r="E123" s="8">
        <f>IF(Hesap!D106="kaldi","",SUMPRODUCT($C$15:$AB$15,Puanlar!C106:AB106)/5)</f>
        <v>49.11714285714285</v>
      </c>
      <c r="F123" s="8">
        <f>IF(Hesap!D106="kaldi","",SUMPRODUCT($C$16:$AB$16,Puanlar!C106:AB106)/5)</f>
        <v>56.54094285714287</v>
      </c>
      <c r="G123" s="8">
        <f>IF(Hesap!D106="kaldi","",SUMPRODUCT($C$17:$AB$17,Puanlar!C106:AB106)/5)</f>
        <v>56.29214</v>
      </c>
      <c r="H123" s="5">
        <f>IF(C123="","",1+COUNTIF($C$22:$C$153,"&gt;"&amp;C123))</f>
        <v>32</v>
      </c>
      <c r="I123" s="5">
        <f>IF(D123="","",1+COUNTIF($D$22:$D$153,"&gt;"&amp;D123))</f>
        <v>39</v>
      </c>
      <c r="J123" s="5">
        <f>IF(E123="","",1+COUNTIF($E$22:$E$153,"&gt;"&amp;E123))</f>
        <v>57</v>
      </c>
      <c r="K123" s="5">
        <f>IF(F123="","",1+COUNTIF($F$22:$F$153,"&gt;"&amp;F123))</f>
        <v>26</v>
      </c>
      <c r="L123" s="5">
        <f>IF(G123="","",1+COUNTIF($G$22:$G$153,"&gt;"&amp;G123))</f>
        <v>23</v>
      </c>
      <c r="M123" s="5">
        <f>IF(H123="","",MIN(H123:L123))</f>
        <v>23</v>
      </c>
      <c r="N123" s="5">
        <f>IF(H123="","",MAX(H123:L123))</f>
        <v>57</v>
      </c>
    </row>
    <row r="124">
      <c r="A124" s="7" t="str">
        <f>Secenekler!A107</f>
        <v>lifeos-b</v>
      </c>
      <c r="B124" s="7" t="str">
        <f>Secenekler!C107</f>
        <v>Freelancer haftalık çalışma kaydı: yerel CSV ve kurulum paketi</v>
      </c>
      <c r="C124" s="8">
        <f>IF(Hesap!D107="kaldi","",SUMPRODUCT($C$13:$AB$13,Puanlar!C107:AB107)/5)</f>
        <v>45.6</v>
      </c>
      <c r="D124" s="8">
        <f>IF(Hesap!D107="kaldi","",SUMPRODUCT($C$14:$AB$14,Puanlar!C107:AB107)/5)</f>
        <v>44.22077922077922</v>
      </c>
      <c r="E124" s="8">
        <f>IF(Hesap!D107="kaldi","",SUMPRODUCT($C$15:$AB$15,Puanlar!C107:AB107)/5)</f>
        <v>44.06077922077922</v>
      </c>
      <c r="F124" s="8">
        <f>IF(Hesap!D107="kaldi","",SUMPRODUCT($C$16:$AB$16,Puanlar!C107:AB107)/5)</f>
        <v>46.18197922077922</v>
      </c>
      <c r="G124" s="8">
        <f>IF(Hesap!D107="kaldi","",SUMPRODUCT($C$17:$AB$17,Puanlar!C107:AB107)/5)</f>
        <v>43.86485090909092</v>
      </c>
      <c r="H124" s="5">
        <f>IF(C124="","",1+COUNTIF($C$22:$C$153,"&gt;"&amp;C124))</f>
        <v>87</v>
      </c>
      <c r="I124" s="5">
        <f>IF(D124="","",1+COUNTIF($D$22:$D$153,"&gt;"&amp;D124))</f>
        <v>95</v>
      </c>
      <c r="J124" s="5">
        <f>IF(E124="","",1+COUNTIF($E$22:$E$153,"&gt;"&amp;E124))</f>
        <v>91</v>
      </c>
      <c r="K124" s="5">
        <f>IF(F124="","",1+COUNTIF($F$22:$F$153,"&gt;"&amp;F124))</f>
        <v>81</v>
      </c>
      <c r="L124" s="5">
        <f>IF(G124="","",1+COUNTIF($G$22:$G$153,"&gt;"&amp;G124))</f>
        <v>107</v>
      </c>
      <c r="M124" s="5">
        <f>IF(H124="","",MIN(H124:L124))</f>
        <v>81</v>
      </c>
      <c r="N124" s="5">
        <f>IF(H124="","",MAX(H124:L124))</f>
        <v>107</v>
      </c>
    </row>
    <row r="125">
      <c r="A125" s="7" t="str">
        <f>Secenekler!A108</f>
        <v>lifeos-c</v>
      </c>
      <c r="B125" s="7" t="str">
        <f>Secenekler!C108</f>
        <v>Tek rutin yeni sekme şablonu: açık çekirdek ve ücretli kit</v>
      </c>
      <c r="C125" s="8">
        <f>IF(Hesap!D108="kaldi","",SUMPRODUCT($C$13:$AB$13,Puanlar!C108:AB108)/5)</f>
        <v>43</v>
      </c>
      <c r="D125" s="8">
        <f>IF(Hesap!D108="kaldi","",SUMPRODUCT($C$14:$AB$14,Puanlar!C108:AB108)/5)</f>
        <v>40.19350649350649</v>
      </c>
      <c r="E125" s="8">
        <f>IF(Hesap!D108="kaldi","",SUMPRODUCT($C$15:$AB$15,Puanlar!C108:AB108)/5)</f>
        <v>37.17350649350649</v>
      </c>
      <c r="F125" s="8">
        <f>IF(Hesap!D108="kaldi","",SUMPRODUCT($C$16:$AB$16,Puanlar!C108:AB108)/5)</f>
        <v>46.04990649350649</v>
      </c>
      <c r="G125" s="8">
        <f>IF(Hesap!D108="kaldi","",SUMPRODUCT($C$17:$AB$17,Puanlar!C108:AB108)/5)</f>
        <v>44.83376242424242</v>
      </c>
      <c r="H125" s="5">
        <f>IF(C125="","",1+COUNTIF($C$22:$C$153,"&gt;"&amp;C125))</f>
        <v>101</v>
      </c>
      <c r="I125" s="5">
        <f>IF(D125="","",1+COUNTIF($D$22:$D$153,"&gt;"&amp;D125))</f>
        <v>108</v>
      </c>
      <c r="J125" s="5">
        <f>IF(E125="","",1+COUNTIF($E$22:$E$153,"&gt;"&amp;E125))</f>
        <v>110</v>
      </c>
      <c r="K125" s="5">
        <f>IF(F125="","",1+COUNTIF($F$22:$F$153,"&gt;"&amp;F125))</f>
        <v>82</v>
      </c>
      <c r="L125" s="5">
        <f>IF(G125="","",1+COUNTIF($G$22:$G$153,"&gt;"&amp;G125))</f>
        <v>104</v>
      </c>
      <c r="M125" s="5">
        <f>IF(H125="","",MIN(H125:L125))</f>
        <v>82</v>
      </c>
      <c r="N125" s="5">
        <f>IF(H125="","",MAX(H125:L125))</f>
        <v>110</v>
      </c>
    </row>
    <row r="126">
      <c r="A126" s="7" t="str">
        <f>Secenekler!A109</f>
        <v>luquit-a</v>
      </c>
      <c r="B126" s="7" t="str">
        <f>Secenekler!C109</f>
        <v>Emlakçı CRM Lite aylık abonelik (bağımsız ofis)</v>
      </c>
      <c r="C126" s="8" t="str">
        <f>IF(Hesap!D109="kaldi","",SUMPRODUCT($C$13:$AB$13,Puanlar!C109:AB109)/5)</f>
        <v/>
      </c>
      <c r="D126" s="8" t="str">
        <f>IF(Hesap!D109="kaldi","",SUMPRODUCT($C$14:$AB$14,Puanlar!C109:AB109)/5)</f>
        <v/>
      </c>
      <c r="E126" s="8" t="str">
        <f>IF(Hesap!D109="kaldi","",SUMPRODUCT($C$15:$AB$15,Puanlar!C109:AB109)/5)</f>
        <v/>
      </c>
      <c r="F126" s="8" t="str">
        <f>IF(Hesap!D109="kaldi","",SUMPRODUCT($C$16:$AB$16,Puanlar!C109:AB109)/5)</f>
        <v/>
      </c>
      <c r="G126" s="8" t="str">
        <f>IF(Hesap!D109="kaldi","",SUMPRODUCT($C$17:$AB$17,Puanlar!C109:AB109)/5)</f>
        <v/>
      </c>
      <c r="H126" s="5" t="str">
        <f>IF(C126="","",1+COUNTIF($C$22:$C$153,"&gt;"&amp;C126))</f>
        <v/>
      </c>
      <c r="I126" s="5" t="str">
        <f>IF(D126="","",1+COUNTIF($D$22:$D$153,"&gt;"&amp;D126))</f>
        <v/>
      </c>
      <c r="J126" s="5" t="str">
        <f>IF(E126="","",1+COUNTIF($E$22:$E$153,"&gt;"&amp;E126))</f>
        <v/>
      </c>
      <c r="K126" s="5" t="str">
        <f>IF(F126="","",1+COUNTIF($F$22:$F$153,"&gt;"&amp;F126))</f>
        <v/>
      </c>
      <c r="L126" s="5" t="str">
        <f>IF(G126="","",1+COUNTIF($G$22:$G$153,"&gt;"&amp;G126))</f>
        <v/>
      </c>
      <c r="M126" s="5" t="str">
        <f>IF(H126="","",MIN(H126:L126))</f>
        <v/>
      </c>
      <c r="N126" s="5" t="str">
        <f>IF(H126="","",MAX(H126:L126))</f>
        <v/>
      </c>
    </row>
    <row r="127">
      <c r="A127" s="7" t="str">
        <f>Secenekler!A110</f>
        <v>luquit-b</v>
      </c>
      <c r="B127" s="7" t="str">
        <f>Secenekler!C110</f>
        <v>Destekli cam arayüz yolculuk kiti (ajans ve freelancer)</v>
      </c>
      <c r="C127" s="8">
        <f>IF(Hesap!D110="kaldi","",SUMPRODUCT($C$13:$AB$13,Puanlar!C110:AB110)/5)</f>
        <v>52.2</v>
      </c>
      <c r="D127" s="8">
        <f>IF(Hesap!D110="kaldi","",SUMPRODUCT($C$14:$AB$14,Puanlar!C110:AB110)/5)</f>
        <v>50.66428571428571</v>
      </c>
      <c r="E127" s="8">
        <f>IF(Hesap!D110="kaldi","",SUMPRODUCT($C$15:$AB$15,Puanlar!C110:AB110)/5)</f>
        <v>50.01428571428572</v>
      </c>
      <c r="F127" s="8">
        <f>IF(Hesap!D110="kaldi","",SUMPRODUCT($C$16:$AB$16,Puanlar!C110:AB110)/5)</f>
        <v>53.83728571428571</v>
      </c>
      <c r="G127" s="8">
        <f>IF(Hesap!D110="kaldi","",SUMPRODUCT($C$17:$AB$17,Puanlar!C110:AB110)/5)</f>
        <v>50.52370000000001</v>
      </c>
      <c r="H127" s="5">
        <f>IF(C127="","",1+COUNTIF($C$22:$C$153,"&gt;"&amp;C127))</f>
        <v>45</v>
      </c>
      <c r="I127" s="5">
        <f>IF(D127="","",1+COUNTIF($D$22:$D$153,"&gt;"&amp;D127))</f>
        <v>49</v>
      </c>
      <c r="J127" s="5">
        <f>IF(E127="","",1+COUNTIF($E$22:$E$153,"&gt;"&amp;E127))</f>
        <v>46</v>
      </c>
      <c r="K127" s="5">
        <f>IF(F127="","",1+COUNTIF($F$22:$F$153,"&gt;"&amp;F127))</f>
        <v>40</v>
      </c>
      <c r="L127" s="5">
        <f>IF(G127="","",1+COUNTIF($G$22:$G$153,"&gt;"&amp;G127))</f>
        <v>68</v>
      </c>
      <c r="M127" s="5">
        <f>IF(H127="","",MIN(H127:L127))</f>
        <v>40</v>
      </c>
      <c r="N127" s="5">
        <f>IF(H127="","",MAX(H127:L127))</f>
        <v>68</v>
      </c>
    </row>
    <row r="128">
      <c r="A128" s="7" t="str">
        <f>Secenekler!A111</f>
        <v>metaframer-kernel-a</v>
      </c>
      <c r="B128" s="7" t="str">
        <f>Secenekler!C111</f>
        <v>tenantkit lisanslı kit (Solo ve Team, küresel)</v>
      </c>
      <c r="C128" s="8">
        <f>IF(Hesap!D111="kaldi","",SUMPRODUCT($C$13:$AB$13,Puanlar!C111:AB111)/5)</f>
        <v>55</v>
      </c>
      <c r="D128" s="8">
        <f>IF(Hesap!D111="kaldi","",SUMPRODUCT($C$14:$AB$14,Puanlar!C111:AB111)/5)</f>
        <v>54.16168831168832</v>
      </c>
      <c r="E128" s="8">
        <f>IF(Hesap!D111="kaldi","",SUMPRODUCT($C$15:$AB$15,Puanlar!C111:AB111)/5)</f>
        <v>53.49168831168831</v>
      </c>
      <c r="F128" s="8">
        <f>IF(Hesap!D111="kaldi","",SUMPRODUCT($C$16:$AB$16,Puanlar!C111:AB111)/5)</f>
        <v>55.11108831168831</v>
      </c>
      <c r="G128" s="8">
        <f>IF(Hesap!D111="kaldi","",SUMPRODUCT($C$17:$AB$17,Puanlar!C111:AB111)/5)</f>
        <v>56.90638363636364</v>
      </c>
      <c r="H128" s="5">
        <f>IF(C128="","",1+COUNTIF($C$22:$C$153,"&gt;"&amp;C128))</f>
        <v>25</v>
      </c>
      <c r="I128" s="5">
        <f>IF(D128="","",1+COUNTIF($D$22:$D$153,"&gt;"&amp;D128))</f>
        <v>20</v>
      </c>
      <c r="J128" s="5">
        <f>IF(E128="","",1+COUNTIF($E$22:$E$153,"&gt;"&amp;E128))</f>
        <v>20</v>
      </c>
      <c r="K128" s="5">
        <f>IF(F128="","",1+COUNTIF($F$22:$F$153,"&gt;"&amp;F128))</f>
        <v>33</v>
      </c>
      <c r="L128" s="5">
        <f>IF(G128="","",1+COUNTIF($G$22:$G$153,"&gt;"&amp;G128))</f>
        <v>16</v>
      </c>
      <c r="M128" s="5">
        <f>IF(H128="","",MIN(H128:L128))</f>
        <v>16</v>
      </c>
      <c r="N128" s="5">
        <f>IF(H128="","",MAX(H128:L128))</f>
        <v>33</v>
      </c>
    </row>
    <row r="129">
      <c r="A129" s="7" t="str">
        <f>Secenekler!A112</f>
        <v>metaframer-kernel-b</v>
      </c>
      <c r="B129" s="7" t="str">
        <f>Secenekler!C112</f>
        <v>Ajans paketi: Team lisansı ve 1 günlük atölye (Türkiye)</v>
      </c>
      <c r="C129" s="8">
        <f>IF(Hesap!D112="kaldi","",SUMPRODUCT($C$13:$AB$13,Puanlar!C112:AB112)/5)</f>
        <v>45</v>
      </c>
      <c r="D129" s="8">
        <f>IF(Hesap!D112="kaldi","",SUMPRODUCT($C$14:$AB$14,Puanlar!C112:AB112)/5)</f>
        <v>45.77987012987013</v>
      </c>
      <c r="E129" s="8">
        <f>IF(Hesap!D112="kaldi","",SUMPRODUCT($C$15:$AB$15,Puanlar!C112:AB112)/5)</f>
        <v>45.72987012987012</v>
      </c>
      <c r="F129" s="8">
        <f>IF(Hesap!D112="kaldi","",SUMPRODUCT($C$16:$AB$16,Puanlar!C112:AB112)/5)</f>
        <v>42.82087012987013</v>
      </c>
      <c r="G129" s="8">
        <f>IF(Hesap!D112="kaldi","",SUMPRODUCT($C$17:$AB$17,Puanlar!C112:AB112)/5)</f>
        <v>48.10055151515152</v>
      </c>
      <c r="H129" s="5">
        <f>IF(C129="","",1+COUNTIF($C$22:$C$153,"&gt;"&amp;C129))</f>
        <v>94</v>
      </c>
      <c r="I129" s="5">
        <f>IF(D129="","",1+COUNTIF($D$22:$D$153,"&gt;"&amp;D129))</f>
        <v>82</v>
      </c>
      <c r="J129" s="5">
        <f>IF(E129="","",1+COUNTIF($E$22:$E$153,"&gt;"&amp;E129))</f>
        <v>78</v>
      </c>
      <c r="K129" s="5">
        <f>IF(F129="","",1+COUNTIF($F$22:$F$153,"&gt;"&amp;F129))</f>
        <v>99</v>
      </c>
      <c r="L129" s="5">
        <f>IF(G129="","",1+COUNTIF($G$22:$G$153,"&gt;"&amp;G129))</f>
        <v>87</v>
      </c>
      <c r="M129" s="5">
        <f>IF(H129="","",MIN(H129:L129))</f>
        <v>78</v>
      </c>
      <c r="N129" s="5">
        <f>IF(H129="","",MAX(H129:L129))</f>
        <v>99</v>
      </c>
    </row>
    <row r="130">
      <c r="A130" s="7" t="str">
        <f>Secenekler!A113</f>
        <v>metaframer-kernel-c</v>
      </c>
      <c r="B130" s="7" t="str">
        <f>Secenekler!C113</f>
        <v>Tek eylem çok kiracılı güvenlik entegrasyon paketi</v>
      </c>
      <c r="C130" s="8">
        <f>IF(Hesap!D113="kaldi","",SUMPRODUCT($C$13:$AB$13,Puanlar!C113:AB113)/5)</f>
        <v>43.4</v>
      </c>
      <c r="D130" s="8">
        <f>IF(Hesap!D113="kaldi","",SUMPRODUCT($C$14:$AB$14,Puanlar!C113:AB113)/5)</f>
        <v>44.20259740259741</v>
      </c>
      <c r="E130" s="8">
        <f>IF(Hesap!D113="kaldi","",SUMPRODUCT($C$15:$AB$15,Puanlar!C113:AB113)/5)</f>
        <v>44.2825974025974</v>
      </c>
      <c r="F130" s="8">
        <f>IF(Hesap!D113="kaldi","",SUMPRODUCT($C$16:$AB$16,Puanlar!C113:AB113)/5)</f>
        <v>41.8969974025974</v>
      </c>
      <c r="G130" s="8">
        <f>IF(Hesap!D113="kaldi","",SUMPRODUCT($C$17:$AB$17,Puanlar!C113:AB113)/5)</f>
        <v>46.81695636363637</v>
      </c>
      <c r="H130" s="5">
        <f>IF(C130="","",1+COUNTIF($C$22:$C$153,"&gt;"&amp;C130))</f>
        <v>99</v>
      </c>
      <c r="I130" s="5">
        <f>IF(D130="","",1+COUNTIF($D$22:$D$153,"&gt;"&amp;D130))</f>
        <v>97</v>
      </c>
      <c r="J130" s="5">
        <f>IF(E130="","",1+COUNTIF($E$22:$E$153,"&gt;"&amp;E130))</f>
        <v>89</v>
      </c>
      <c r="K130" s="5">
        <f>IF(F130="","",1+COUNTIF($F$22:$F$153,"&gt;"&amp;F130))</f>
        <v>102</v>
      </c>
      <c r="L130" s="5">
        <f>IF(G130="","",1+COUNTIF($G$22:$G$153,"&gt;"&amp;G130))</f>
        <v>95</v>
      </c>
      <c r="M130" s="5">
        <f>IF(H130="","",MIN(H130:L130))</f>
        <v>89</v>
      </c>
      <c r="N130" s="5">
        <f>IF(H130="","",MAX(H130:L130))</f>
        <v>102</v>
      </c>
    </row>
    <row r="131">
      <c r="A131" s="7" t="str">
        <f>Secenekler!A114</f>
        <v>alan-adi-bulucu-a</v>
      </c>
      <c r="B131" s="7" t="str">
        <f>Secenekler!C114</f>
        <v>Proje paketi: Türkçe puanlı boş .com kısa liste aracı</v>
      </c>
      <c r="C131" s="8">
        <f>IF(Hesap!D114="kaldi","",SUMPRODUCT($C$13:$AB$13,Puanlar!C114:AB114)/5)</f>
        <v>57.6</v>
      </c>
      <c r="D131" s="8">
        <f>IF(Hesap!D114="kaldi","",SUMPRODUCT($C$14:$AB$14,Puanlar!C114:AB114)/5)</f>
        <v>55.69350649350649</v>
      </c>
      <c r="E131" s="8">
        <f>IF(Hesap!D114="kaldi","",SUMPRODUCT($C$15:$AB$15,Puanlar!C114:AB114)/5)</f>
        <v>54.37350649350649</v>
      </c>
      <c r="F131" s="8">
        <f>IF(Hesap!D114="kaldi","",SUMPRODUCT($C$16:$AB$16,Puanlar!C114:AB114)/5)</f>
        <v>60.81590649350649</v>
      </c>
      <c r="G131" s="8">
        <f>IF(Hesap!D114="kaldi","",SUMPRODUCT($C$17:$AB$17,Puanlar!C114:AB114)/5)</f>
        <v>56.61289575757576</v>
      </c>
      <c r="H131" s="5">
        <f>IF(C131="","",1+COUNTIF($C$22:$C$153,"&gt;"&amp;C131))</f>
        <v>7</v>
      </c>
      <c r="I131" s="5">
        <f>IF(D131="","",1+COUNTIF($D$22:$D$153,"&gt;"&amp;D131))</f>
        <v>14</v>
      </c>
      <c r="J131" s="5">
        <f>IF(E131="","",1+COUNTIF($E$22:$E$153,"&gt;"&amp;E131))</f>
        <v>19</v>
      </c>
      <c r="K131" s="5">
        <f>IF(F131="","",1+COUNTIF($F$22:$F$153,"&gt;"&amp;F131))</f>
        <v>4</v>
      </c>
      <c r="L131" s="5">
        <f>IF(G131="","",1+COUNTIF($G$22:$G$153,"&gt;"&amp;G131))</f>
        <v>20</v>
      </c>
      <c r="M131" s="5">
        <f>IF(H131="","",MIN(H131:L131))</f>
        <v>4</v>
      </c>
      <c r="N131" s="5">
        <f>IF(H131="","",MAX(H131:L131))</f>
        <v>20</v>
      </c>
    </row>
    <row r="132">
      <c r="A132" s="7" t="str">
        <f>Secenekler!A115</f>
        <v>alan-adi-bulucu-b</v>
      </c>
      <c r="B132" s="7" t="str">
        <f>Secenekler!C115</f>
        <v>Ajans yıllık paketi: puanlı kısa liste ve müşteri teslim şablonu</v>
      </c>
      <c r="C132" s="8">
        <f>IF(Hesap!D115="kaldi","",SUMPRODUCT($C$13:$AB$13,Puanlar!C115:AB115)/5)</f>
        <v>47.2</v>
      </c>
      <c r="D132" s="8">
        <f>IF(Hesap!D115="kaldi","",SUMPRODUCT($C$14:$AB$14,Puanlar!C115:AB115)/5)</f>
        <v>45.66818181818181</v>
      </c>
      <c r="E132" s="8">
        <f>IF(Hesap!D115="kaldi","",SUMPRODUCT($C$15:$AB$15,Puanlar!C115:AB115)/5)</f>
        <v>44.35818181818182</v>
      </c>
      <c r="F132" s="8">
        <f>IF(Hesap!D115="kaldi","",SUMPRODUCT($C$16:$AB$16,Puanlar!C115:AB115)/5)</f>
        <v>48.96238181818182</v>
      </c>
      <c r="G132" s="8">
        <f>IF(Hesap!D115="kaldi","",SUMPRODUCT($C$17:$AB$17,Puanlar!C115:AB115)/5)</f>
        <v>48.75784787878789</v>
      </c>
      <c r="H132" s="5">
        <f>IF(C132="","",1+COUNTIF($C$22:$C$153,"&gt;"&amp;C132))</f>
        <v>77</v>
      </c>
      <c r="I132" s="5">
        <f>IF(D132="","",1+COUNTIF($D$22:$D$153,"&gt;"&amp;D132))</f>
        <v>83</v>
      </c>
      <c r="J132" s="5">
        <f>IF(E132="","",1+COUNTIF($E$22:$E$153,"&gt;"&amp;E132))</f>
        <v>88</v>
      </c>
      <c r="K132" s="5">
        <f>IF(F132="","",1+COUNTIF($F$22:$F$153,"&gt;"&amp;F132))</f>
        <v>69</v>
      </c>
      <c r="L132" s="5">
        <f>IF(G132="","",1+COUNTIF($G$22:$G$153,"&gt;"&amp;G132))</f>
        <v>79</v>
      </c>
      <c r="M132" s="5">
        <f>IF(H132="","",MIN(H132:L132))</f>
        <v>69</v>
      </c>
      <c r="N132" s="5">
        <f>IF(H132="","",MAX(H132:L132))</f>
        <v>88</v>
      </c>
    </row>
    <row r="133">
      <c r="A133" s="7" t="str">
        <f>Secenekler!A116</f>
        <v>alan-adi-bulucu-c</v>
      </c>
      <c r="B133" s="7" t="str">
        <f>Secenekler!C116</f>
        <v>Elle teslim: 10 adaylık güncel boş .com karar dosyası</v>
      </c>
      <c r="C133" s="8">
        <f>IF(Hesap!D116="kaldi","",SUMPRODUCT($C$13:$AB$13,Puanlar!C116:AB116)/5)</f>
        <v>52.6</v>
      </c>
      <c r="D133" s="8">
        <f>IF(Hesap!D116="kaldi","",SUMPRODUCT($C$14:$AB$14,Puanlar!C116:AB116)/5)</f>
        <v>51.00714285714285</v>
      </c>
      <c r="E133" s="8">
        <f>IF(Hesap!D116="kaldi","",SUMPRODUCT($C$15:$AB$15,Puanlar!C116:AB116)/5)</f>
        <v>50.19714285714285</v>
      </c>
      <c r="F133" s="8">
        <f>IF(Hesap!D116="kaldi","",SUMPRODUCT($C$16:$AB$16,Puanlar!C116:AB116)/5)</f>
        <v>56.71134285714286</v>
      </c>
      <c r="G133" s="8">
        <f>IF(Hesap!D116="kaldi","",SUMPRODUCT($C$17:$AB$17,Puanlar!C116:AB116)/5)</f>
        <v>51.33859333333335</v>
      </c>
      <c r="H133" s="5">
        <f>IF(C133="","",1+COUNTIF($C$22:$C$153,"&gt;"&amp;C133))</f>
        <v>39</v>
      </c>
      <c r="I133" s="5">
        <f>IF(D133="","",1+COUNTIF($D$22:$D$153,"&gt;"&amp;D133))</f>
        <v>45</v>
      </c>
      <c r="J133" s="5">
        <f>IF(E133="","",1+COUNTIF($E$22:$E$153,"&gt;"&amp;E133))</f>
        <v>43</v>
      </c>
      <c r="K133" s="5">
        <f>IF(F133="","",1+COUNTIF($F$22:$F$153,"&gt;"&amp;F133))</f>
        <v>24</v>
      </c>
      <c r="L133" s="5">
        <f>IF(G133="","",1+COUNTIF($G$22:$G$153,"&gt;"&amp;G133))</f>
        <v>62</v>
      </c>
      <c r="M133" s="5">
        <f>IF(H133="","",MIN(H133:L133))</f>
        <v>24</v>
      </c>
      <c r="N133" s="5">
        <f>IF(H133="","",MAX(H133:L133))</f>
        <v>62</v>
      </c>
    </row>
    <row r="134">
      <c r="A134" s="7" t="str">
        <f>Secenekler!A117</f>
        <v>projector-a</v>
      </c>
      <c r="B134" s="7" t="str">
        <f>Secenekler!C117</f>
        <v>Türkçe SaaS mimarisi e-kitabı ön satışı</v>
      </c>
      <c r="C134" s="8">
        <f>IF(Hesap!D117="kaldi","",SUMPRODUCT($C$13:$AB$13,Puanlar!C117:AB117)/5)</f>
        <v>55.2</v>
      </c>
      <c r="D134" s="8">
        <f>IF(Hesap!D117="kaldi","",SUMPRODUCT($C$14:$AB$14,Puanlar!C117:AB117)/5)</f>
        <v>52.84805194805195</v>
      </c>
      <c r="E134" s="8">
        <f>IF(Hesap!D117="kaldi","",SUMPRODUCT($C$15:$AB$15,Puanlar!C117:AB117)/5)</f>
        <v>50.44805194805195</v>
      </c>
      <c r="F134" s="8">
        <f>IF(Hesap!D117="kaldi","",SUMPRODUCT($C$16:$AB$16,Puanlar!C117:AB117)/5)</f>
        <v>58.27605194805194</v>
      </c>
      <c r="G134" s="8">
        <f>IF(Hesap!D117="kaldi","",SUMPRODUCT($C$17:$AB$17,Puanlar!C117:AB117)/5)</f>
        <v>56.50077272727273</v>
      </c>
      <c r="H134" s="5">
        <f>IF(C134="","",1+COUNTIF($C$22:$C$153,"&gt;"&amp;C134))</f>
        <v>23</v>
      </c>
      <c r="I134" s="5">
        <f>IF(D134="","",1+COUNTIF($D$22:$D$153,"&gt;"&amp;D134))</f>
        <v>32</v>
      </c>
      <c r="J134" s="5">
        <f>IF(E134="","",1+COUNTIF($E$22:$E$153,"&gt;"&amp;E134))</f>
        <v>40</v>
      </c>
      <c r="K134" s="5">
        <f>IF(F134="","",1+COUNTIF($F$22:$F$153,"&gt;"&amp;F134))</f>
        <v>15</v>
      </c>
      <c r="L134" s="5">
        <f>IF(G134="","",1+COUNTIF($G$22:$G$153,"&gt;"&amp;G134))</f>
        <v>21</v>
      </c>
      <c r="M134" s="5">
        <f>IF(H134="","",MIN(H134:L134))</f>
        <v>15</v>
      </c>
      <c r="N134" s="5">
        <f>IF(H134="","",MAX(H134:L134))</f>
        <v>40</v>
      </c>
    </row>
    <row r="135">
      <c r="A135" s="7" t="str">
        <f>Secenekler!A118</f>
        <v>projector-b</v>
      </c>
      <c r="B135" s="7" t="str">
        <f>Secenekler!C118</f>
        <v>İki günlük ekip atölyesi: Kurumsal SaaS mimarisi</v>
      </c>
      <c r="C135" s="8">
        <f>IF(Hesap!D118="kaldi","",SUMPRODUCT($C$13:$AB$13,Puanlar!C118:AB118)/5)</f>
        <v>45</v>
      </c>
      <c r="D135" s="8">
        <f>IF(Hesap!D118="kaldi","",SUMPRODUCT($C$14:$AB$14,Puanlar!C118:AB118)/5)</f>
        <v>44.60454545454545</v>
      </c>
      <c r="E135" s="8">
        <f>IF(Hesap!D118="kaldi","",SUMPRODUCT($C$15:$AB$15,Puanlar!C118:AB118)/5)</f>
        <v>44.25454545454545</v>
      </c>
      <c r="F135" s="8">
        <f>IF(Hesap!D118="kaldi","",SUMPRODUCT($C$16:$AB$16,Puanlar!C118:AB118)/5)</f>
        <v>48.48154545454545</v>
      </c>
      <c r="G135" s="8">
        <f>IF(Hesap!D118="kaldi","",SUMPRODUCT($C$17:$AB$17,Puanlar!C118:AB118)/5)</f>
        <v>45.26523030303031</v>
      </c>
      <c r="H135" s="5">
        <f>IF(C135="","",1+COUNTIF($C$22:$C$153,"&gt;"&amp;C135))</f>
        <v>94</v>
      </c>
      <c r="I135" s="5">
        <f>IF(D135="","",1+COUNTIF($D$22:$D$153,"&gt;"&amp;D135))</f>
        <v>92</v>
      </c>
      <c r="J135" s="5">
        <f>IF(E135="","",1+COUNTIF($E$22:$E$153,"&gt;"&amp;E135))</f>
        <v>90</v>
      </c>
      <c r="K135" s="5">
        <f>IF(F135="","",1+COUNTIF($F$22:$F$153,"&gt;"&amp;F135))</f>
        <v>71</v>
      </c>
      <c r="L135" s="5">
        <f>IF(G135="","",1+COUNTIF($G$22:$G$153,"&gt;"&amp;G135))</f>
        <v>101</v>
      </c>
      <c r="M135" s="5">
        <f>IF(H135="","",MIN(H135:L135))</f>
        <v>71</v>
      </c>
      <c r="N135" s="5">
        <f>IF(H135="","",MAX(H135:L135))</f>
        <v>101</v>
      </c>
    </row>
    <row r="136">
      <c r="A136" s="7" t="str">
        <f>Secenekler!A119</f>
        <v>projector-c</v>
      </c>
      <c r="B136" s="7" t="str">
        <f>Secenekler!C119</f>
        <v>Kaynaklı teslim portalı: 30 dokümanlık migration pilotu</v>
      </c>
      <c r="C136" s="8">
        <f>IF(Hesap!D119="kaldi","",SUMPRODUCT($C$13:$AB$13,Puanlar!C119:AB119)/5)</f>
        <v>40.6</v>
      </c>
      <c r="D136" s="8">
        <f>IF(Hesap!D119="kaldi","",SUMPRODUCT($C$14:$AB$14,Puanlar!C119:AB119)/5)</f>
        <v>40.74090909090908</v>
      </c>
      <c r="E136" s="8">
        <f>IF(Hesap!D119="kaldi","",SUMPRODUCT($C$15:$AB$15,Puanlar!C119:AB119)/5)</f>
        <v>40.69090909090909</v>
      </c>
      <c r="F136" s="8">
        <f>IF(Hesap!D119="kaldi","",SUMPRODUCT($C$16:$AB$16,Puanlar!C119:AB119)/5)</f>
        <v>39.59190909090908</v>
      </c>
      <c r="G136" s="8">
        <f>IF(Hesap!D119="kaldi","",SUMPRODUCT($C$17:$AB$17,Puanlar!C119:AB119)/5)</f>
        <v>42.07567272727273</v>
      </c>
      <c r="H136" s="5">
        <f>IF(C136="","",1+COUNTIF($C$22:$C$153,"&gt;"&amp;C136))</f>
        <v>108</v>
      </c>
      <c r="I136" s="5">
        <f>IF(D136="","",1+COUNTIF($D$22:$D$153,"&gt;"&amp;D136))</f>
        <v>107</v>
      </c>
      <c r="J136" s="5">
        <f>IF(E136="","",1+COUNTIF($E$22:$E$153,"&gt;"&amp;E136))</f>
        <v>107</v>
      </c>
      <c r="K136" s="5">
        <f>IF(F136="","",1+COUNTIF($F$22:$F$153,"&gt;"&amp;F136))</f>
        <v>108</v>
      </c>
      <c r="L136" s="5">
        <f>IF(G136="","",1+COUNTIF($G$22:$G$153,"&gt;"&amp;G136))</f>
        <v>109</v>
      </c>
      <c r="M136" s="5">
        <f>IF(H136="","",MIN(H136:L136))</f>
        <v>107</v>
      </c>
      <c r="N136" s="5">
        <f>IF(H136="","",MAX(H136:L136))</f>
        <v>109</v>
      </c>
    </row>
    <row r="137">
      <c r="A137" s="7" t="str">
        <f>Secenekler!A120</f>
        <v>kurucu-pusulasi-a</v>
      </c>
      <c r="B137" s="7" t="str">
        <f>Secenekler!C120</f>
        <v>Kurucu Pusulası şablonu, bireysel satış</v>
      </c>
      <c r="C137" s="8">
        <f>IF(Hesap!D120="kaldi","",SUMPRODUCT($C$13:$AB$13,Puanlar!C120:AB120)/5)</f>
        <v>56.2</v>
      </c>
      <c r="D137" s="8">
        <f>IF(Hesap!D120="kaldi","",SUMPRODUCT($C$14:$AB$14,Puanlar!C120:AB120)/5)</f>
        <v>53.89805194805194</v>
      </c>
      <c r="E137" s="8">
        <f>IF(Hesap!D120="kaldi","",SUMPRODUCT($C$15:$AB$15,Puanlar!C120:AB120)/5)</f>
        <v>51.62805194805195</v>
      </c>
      <c r="F137" s="8">
        <f>IF(Hesap!D120="kaldi","",SUMPRODUCT($C$16:$AB$16,Puanlar!C120:AB120)/5)</f>
        <v>59.54945194805195</v>
      </c>
      <c r="G137" s="8">
        <f>IF(Hesap!D120="kaldi","",SUMPRODUCT($C$17:$AB$17,Puanlar!C120:AB120)/5)</f>
        <v>57.43479272727274</v>
      </c>
      <c r="H137" s="5">
        <f>IF(C137="","",1+COUNTIF($C$22:$C$153,"&gt;"&amp;C137))</f>
        <v>16</v>
      </c>
      <c r="I137" s="5">
        <f>IF(D137="","",1+COUNTIF($D$22:$D$153,"&gt;"&amp;D137))</f>
        <v>24</v>
      </c>
      <c r="J137" s="5">
        <f>IF(E137="","",1+COUNTIF($E$22:$E$153,"&gt;"&amp;E137))</f>
        <v>31</v>
      </c>
      <c r="K137" s="5">
        <f>IF(F137="","",1+COUNTIF($F$22:$F$153,"&gt;"&amp;F137))</f>
        <v>7</v>
      </c>
      <c r="L137" s="5">
        <f>IF(G137="","",1+COUNTIF($G$22:$G$153,"&gt;"&amp;G137))</f>
        <v>11</v>
      </c>
      <c r="M137" s="5">
        <f>IF(H137="","",MIN(H137:L137))</f>
        <v>7</v>
      </c>
      <c r="N137" s="5">
        <f>IF(H137="","",MAX(H137:L137))</f>
        <v>31</v>
      </c>
    </row>
    <row r="138">
      <c r="A138" s="7" t="str">
        <f>Secenekler!A121</f>
        <v>kurucu-pusulasi-b</v>
      </c>
      <c r="B138" s="7" t="str">
        <f>Secenekler!C121</f>
        <v>Mentor sürümü, kuluçka programlarına kurum lisansı</v>
      </c>
      <c r="C138" s="8">
        <f>IF(Hesap!D121="kaldi","",SUMPRODUCT($C$13:$AB$13,Puanlar!C121:AB121)/5)</f>
        <v>43.2</v>
      </c>
      <c r="D138" s="8">
        <f>IF(Hesap!D121="kaldi","",SUMPRODUCT($C$14:$AB$14,Puanlar!C121:AB121)/5)</f>
        <v>42.39805194805195</v>
      </c>
      <c r="E138" s="8">
        <f>IF(Hesap!D121="kaldi","",SUMPRODUCT($C$15:$AB$15,Puanlar!C121:AB121)/5)</f>
        <v>41.22805194805195</v>
      </c>
      <c r="F138" s="8">
        <f>IF(Hesap!D121="kaldi","",SUMPRODUCT($C$16:$AB$16,Puanlar!C121:AB121)/5)</f>
        <v>45.33745194805194</v>
      </c>
      <c r="G138" s="8">
        <f>IF(Hesap!D121="kaldi","",SUMPRODUCT($C$17:$AB$17,Puanlar!C121:AB121)/5)</f>
        <v>46.6578593939394</v>
      </c>
      <c r="H138" s="5">
        <f>IF(C138="","",1+COUNTIF($C$22:$C$153,"&gt;"&amp;C138))</f>
        <v>100</v>
      </c>
      <c r="I138" s="5">
        <f>IF(D138="","",1+COUNTIF($D$22:$D$153,"&gt;"&amp;D138))</f>
        <v>104</v>
      </c>
      <c r="J138" s="5">
        <f>IF(E138="","",1+COUNTIF($E$22:$E$153,"&gt;"&amp;E138))</f>
        <v>103</v>
      </c>
      <c r="K138" s="5">
        <f>IF(F138="","",1+COUNTIF($F$22:$F$153,"&gt;"&amp;F138))</f>
        <v>89</v>
      </c>
      <c r="L138" s="5">
        <f>IF(G138="","",1+COUNTIF($G$22:$G$153,"&gt;"&amp;G138))</f>
        <v>97</v>
      </c>
      <c r="M138" s="5">
        <f>IF(H138="","",MIN(H138:L138))</f>
        <v>89</v>
      </c>
      <c r="N138" s="5">
        <f>IF(H138="","",MAX(H138:L138))</f>
        <v>104</v>
      </c>
    </row>
    <row r="139">
      <c r="A139" s="7" t="str">
        <f>Secenekler!A122</f>
        <v>kurucu-pusulasi-c</v>
      </c>
      <c r="B139" s="7" t="str">
        <f>Secenekler!C122</f>
        <v>Kitap Atlası, çevirmen künyeli ortaklık sitesi</v>
      </c>
      <c r="C139" s="8">
        <f>IF(Hesap!D122="kaldi","",SUMPRODUCT($C$13:$AB$13,Puanlar!C122:AB122)/5)</f>
        <v>54.2</v>
      </c>
      <c r="D139" s="8">
        <f>IF(Hesap!D122="kaldi","",SUMPRODUCT($C$14:$AB$14,Puanlar!C122:AB122)/5)</f>
        <v>52.35909090909091</v>
      </c>
      <c r="E139" s="8">
        <f>IF(Hesap!D122="kaldi","",SUMPRODUCT($C$15:$AB$15,Puanlar!C122:AB122)/5)</f>
        <v>49.72909090909091</v>
      </c>
      <c r="F139" s="8">
        <f>IF(Hesap!D122="kaldi","",SUMPRODUCT($C$16:$AB$16,Puanlar!C122:AB122)/5)</f>
        <v>58.2956909090909</v>
      </c>
      <c r="G139" s="8">
        <f>IF(Hesap!D122="kaldi","",SUMPRODUCT($C$17:$AB$17,Puanlar!C122:AB122)/5)</f>
        <v>58.15370727272727</v>
      </c>
      <c r="H139" s="5">
        <f>IF(C139="","",1+COUNTIF($C$22:$C$153,"&gt;"&amp;C139))</f>
        <v>27</v>
      </c>
      <c r="I139" s="5">
        <f>IF(D139="","",1+COUNTIF($D$22:$D$153,"&gt;"&amp;D139))</f>
        <v>36</v>
      </c>
      <c r="J139" s="5">
        <f>IF(E139="","",1+COUNTIF($E$22:$E$153,"&gt;"&amp;E139))</f>
        <v>51</v>
      </c>
      <c r="K139" s="5">
        <f>IF(F139="","",1+COUNTIF($F$22:$F$153,"&gt;"&amp;F139))</f>
        <v>14</v>
      </c>
      <c r="L139" s="5">
        <f>IF(G139="","",1+COUNTIF($G$22:$G$153,"&gt;"&amp;G139))</f>
        <v>9</v>
      </c>
      <c r="M139" s="5">
        <f>IF(H139="","",MIN(H139:L139))</f>
        <v>9</v>
      </c>
      <c r="N139" s="5">
        <f>IF(H139="","",MAX(H139:L139))</f>
        <v>51</v>
      </c>
    </row>
    <row r="140">
      <c r="A140" s="7" t="str">
        <f>Secenekler!A123</f>
        <v>signator-a</v>
      </c>
      <c r="B140" s="7" t="str">
        <f>Secenekler!C123</f>
        <v>Ajans paketi: white-label toplu imza ve KVKK altbilgi</v>
      </c>
      <c r="C140" s="8">
        <f>IF(Hesap!D123="kaldi","",SUMPRODUCT($C$13:$AB$13,Puanlar!C123:AB123)/5)</f>
        <v>49.2</v>
      </c>
      <c r="D140" s="8">
        <f>IF(Hesap!D123="kaldi","",SUMPRODUCT($C$14:$AB$14,Puanlar!C123:AB123)/5)</f>
        <v>48.51818181818182</v>
      </c>
      <c r="E140" s="8">
        <f>IF(Hesap!D123="kaldi","",SUMPRODUCT($C$15:$AB$15,Puanlar!C123:AB123)/5)</f>
        <v>47.71818181818181</v>
      </c>
      <c r="F140" s="8">
        <f>IF(Hesap!D123="kaldi","",SUMPRODUCT($C$16:$AB$16,Puanlar!C123:AB123)/5)</f>
        <v>48.94418181818182</v>
      </c>
      <c r="G140" s="8">
        <f>IF(Hesap!D123="kaldi","",SUMPRODUCT($C$17:$AB$17,Puanlar!C123:AB123)/5)</f>
        <v>50.34855454545455</v>
      </c>
      <c r="H140" s="5">
        <f>IF(C140="","",1+COUNTIF($C$22:$C$153,"&gt;"&amp;C140))</f>
        <v>65</v>
      </c>
      <c r="I140" s="5">
        <f>IF(D140="","",1+COUNTIF($D$22:$D$153,"&gt;"&amp;D140))</f>
        <v>66</v>
      </c>
      <c r="J140" s="5">
        <f>IF(E140="","",1+COUNTIF($E$22:$E$153,"&gt;"&amp;E140))</f>
        <v>66</v>
      </c>
      <c r="K140" s="5">
        <f>IF(F140="","",1+COUNTIF($F$22:$F$153,"&gt;"&amp;F140))</f>
        <v>70</v>
      </c>
      <c r="L140" s="5">
        <f>IF(G140="","",1+COUNTIF($G$22:$G$153,"&gt;"&amp;G140))</f>
        <v>71</v>
      </c>
      <c r="M140" s="5">
        <f>IF(H140="","",MIN(H140:L140))</f>
        <v>65</v>
      </c>
      <c r="N140" s="5">
        <f>IF(H140="","",MAX(H140:L140))</f>
        <v>71</v>
      </c>
    </row>
    <row r="141">
      <c r="A141" s="7" t="str">
        <f>Secenekler!A124</f>
        <v>signator-b</v>
      </c>
      <c r="B141" s="7" t="str">
        <f>Secenekler!C124</f>
        <v>KOBİ ekip paketi: self-servis, aramadan gelen satış</v>
      </c>
      <c r="C141" s="8">
        <f>IF(Hesap!D124="kaldi","",SUMPRODUCT($C$13:$AB$13,Puanlar!C124:AB124)/5)</f>
        <v>55.2</v>
      </c>
      <c r="D141" s="8">
        <f>IF(Hesap!D124="kaldi","",SUMPRODUCT($C$14:$AB$14,Puanlar!C124:AB124)/5)</f>
        <v>53.75909090909092</v>
      </c>
      <c r="E141" s="8">
        <f>IF(Hesap!D124="kaldi","",SUMPRODUCT($C$15:$AB$15,Puanlar!C124:AB124)/5)</f>
        <v>52.56909090909092</v>
      </c>
      <c r="F141" s="8">
        <f>IF(Hesap!D124="kaldi","",SUMPRODUCT($C$16:$AB$16,Puanlar!C124:AB124)/5)</f>
        <v>55.6248909090909</v>
      </c>
      <c r="G141" s="8">
        <f>IF(Hesap!D124="kaldi","",SUMPRODUCT($C$17:$AB$17,Puanlar!C124:AB124)/5)</f>
        <v>54.73480060606062</v>
      </c>
      <c r="H141" s="5">
        <f>IF(C141="","",1+COUNTIF($C$22:$C$153,"&gt;"&amp;C141))</f>
        <v>23</v>
      </c>
      <c r="I141" s="5">
        <f>IF(D141="","",1+COUNTIF($D$22:$D$153,"&gt;"&amp;D141))</f>
        <v>25</v>
      </c>
      <c r="J141" s="5">
        <f>IF(E141="","",1+COUNTIF($E$22:$E$153,"&gt;"&amp;E141))</f>
        <v>26</v>
      </c>
      <c r="K141" s="5">
        <f>IF(F141="","",1+COUNTIF($F$22:$F$153,"&gt;"&amp;F141))</f>
        <v>30</v>
      </c>
      <c r="L141" s="5">
        <f>IF(G141="","",1+COUNTIF($G$22:$G$153,"&gt;"&amp;G141))</f>
        <v>33</v>
      </c>
      <c r="M141" s="5">
        <f>IF(H141="","",MIN(H141:L141))</f>
        <v>23</v>
      </c>
      <c r="N141" s="5">
        <f>IF(H141="","",MAX(H141:L141))</f>
        <v>33</v>
      </c>
    </row>
    <row r="142">
      <c r="A142" s="7" t="str">
        <f>Secenekler!A125</f>
        <v>signator-c</v>
      </c>
      <c r="B142" s="7" t="str">
        <f>Secenekler!C125</f>
        <v>Sabit fiyatlı ekip imzası kurulum paketi</v>
      </c>
      <c r="C142" s="8">
        <f>IF(Hesap!D125="kaldi","",SUMPRODUCT($C$13:$AB$13,Puanlar!C125:AB125)/5)</f>
        <v>55</v>
      </c>
      <c r="D142" s="8">
        <f>IF(Hesap!D125="kaldi","",SUMPRODUCT($C$14:$AB$14,Puanlar!C125:AB125)/5)</f>
        <v>53.39350649350649</v>
      </c>
      <c r="E142" s="8">
        <f>IF(Hesap!D125="kaldi","",SUMPRODUCT($C$15:$AB$15,Puanlar!C125:AB125)/5)</f>
        <v>52.0935064935065</v>
      </c>
      <c r="F142" s="8">
        <f>IF(Hesap!D125="kaldi","",SUMPRODUCT($C$16:$AB$16,Puanlar!C125:AB125)/5)</f>
        <v>58.22950649350648</v>
      </c>
      <c r="G142" s="8">
        <f>IF(Hesap!D125="kaldi","",SUMPRODUCT($C$17:$AB$17,Puanlar!C125:AB125)/5)</f>
        <v>53.67997575757577</v>
      </c>
      <c r="H142" s="5">
        <f>IF(C142="","",1+COUNTIF($C$22:$C$153,"&gt;"&amp;C142))</f>
        <v>25</v>
      </c>
      <c r="I142" s="5">
        <f>IF(D142="","",1+COUNTIF($D$22:$D$153,"&gt;"&amp;D142))</f>
        <v>27</v>
      </c>
      <c r="J142" s="5">
        <f>IF(E142="","",1+COUNTIF($E$22:$E$153,"&gt;"&amp;E142))</f>
        <v>29</v>
      </c>
      <c r="K142" s="5">
        <f>IF(F142="","",1+COUNTIF($F$22:$F$153,"&gt;"&amp;F142))</f>
        <v>17</v>
      </c>
      <c r="L142" s="5">
        <f>IF(G142="","",1+COUNTIF($G$22:$G$153,"&gt;"&amp;G142))</f>
        <v>39</v>
      </c>
      <c r="M142" s="5">
        <f>IF(H142="","",MIN(H142:L142))</f>
        <v>17</v>
      </c>
      <c r="N142" s="5">
        <f>IF(H142="","",MAX(H142:L142))</f>
        <v>39</v>
      </c>
    </row>
    <row r="143">
      <c r="A143" s="7" t="str">
        <f>Secenekler!A126</f>
        <v>volley-tap-a</v>
      </c>
      <c r="B143" s="7" t="str">
        <f>Secenekler!C126</f>
        <v>Kulüp ve markalara sabit paketli kampanya oyunu</v>
      </c>
      <c r="C143" s="8">
        <f>IF(Hesap!D126="kaldi","",SUMPRODUCT($C$13:$AB$13,Puanlar!C126:AB126)/5)</f>
        <v>46.2</v>
      </c>
      <c r="D143" s="8">
        <f>IF(Hesap!D126="kaldi","",SUMPRODUCT($C$14:$AB$14,Puanlar!C126:AB126)/5)</f>
        <v>46.4</v>
      </c>
      <c r="E143" s="8">
        <f>IF(Hesap!D126="kaldi","",SUMPRODUCT($C$15:$AB$15,Puanlar!C126:AB126)/5)</f>
        <v>46.1</v>
      </c>
      <c r="F143" s="8">
        <f>IF(Hesap!D126="kaldi","",SUMPRODUCT($C$16:$AB$16,Puanlar!C126:AB126)/5)</f>
        <v>43.826</v>
      </c>
      <c r="G143" s="8">
        <f>IF(Hesap!D126="kaldi","",SUMPRODUCT($C$17:$AB$17,Puanlar!C126:AB126)/5)</f>
        <v>47.83390000000001</v>
      </c>
      <c r="H143" s="5">
        <f>IF(C143="","",1+COUNTIF($C$22:$C$153,"&gt;"&amp;C143))</f>
        <v>82</v>
      </c>
      <c r="I143" s="5">
        <f>IF(D143="","",1+COUNTIF($D$22:$D$153,"&gt;"&amp;D143))</f>
        <v>77</v>
      </c>
      <c r="J143" s="5">
        <f>IF(E143="","",1+COUNTIF($E$22:$E$153,"&gt;"&amp;E143))</f>
        <v>74</v>
      </c>
      <c r="K143" s="5">
        <f>IF(F143="","",1+COUNTIF($F$22:$F$153,"&gt;"&amp;F143))</f>
        <v>97</v>
      </c>
      <c r="L143" s="5">
        <f>IF(G143="","",1+COUNTIF($G$22:$G$153,"&gt;"&amp;G143))</f>
        <v>89</v>
      </c>
      <c r="M143" s="5">
        <f>IF(H143="","",MIN(H143:L143))</f>
        <v>74</v>
      </c>
      <c r="N143" s="5">
        <f>IF(H143="","",MAX(H143:L143))</f>
        <v>97</v>
      </c>
    </row>
    <row r="144">
      <c r="A144" s="7" t="str">
        <f>Secenekler!A127</f>
        <v>volley-tap-b</v>
      </c>
      <c r="B144" s="7" t="str">
        <f>Secenekler!C127</f>
        <v>CrazyGames ve Yandex Games portal reklam geliri</v>
      </c>
      <c r="C144" s="8">
        <f>IF(Hesap!D127="kaldi","",SUMPRODUCT($C$13:$AB$13,Puanlar!C127:AB127)/5)</f>
        <v>46.4</v>
      </c>
      <c r="D144" s="8">
        <f>IF(Hesap!D127="kaldi","",SUMPRODUCT($C$14:$AB$14,Puanlar!C127:AB127)/5)</f>
        <v>44.22077922077922</v>
      </c>
      <c r="E144" s="8">
        <f>IF(Hesap!D127="kaldi","",SUMPRODUCT($C$15:$AB$15,Puanlar!C127:AB127)/5)</f>
        <v>40.70077922077922</v>
      </c>
      <c r="F144" s="8">
        <f>IF(Hesap!D127="kaldi","",SUMPRODUCT($C$16:$AB$16,Puanlar!C127:AB127)/5)</f>
        <v>45.59717922077922</v>
      </c>
      <c r="G144" s="8">
        <f>IF(Hesap!D127="kaldi","",SUMPRODUCT($C$17:$AB$17,Puanlar!C127:AB127)/5)</f>
        <v>50.88447757575757</v>
      </c>
      <c r="H144" s="5">
        <f>IF(C144="","",1+COUNTIF($C$22:$C$153,"&gt;"&amp;C144))</f>
        <v>80</v>
      </c>
      <c r="I144" s="5">
        <f>IF(D144="","",1+COUNTIF($D$22:$D$153,"&gt;"&amp;D144))</f>
        <v>95</v>
      </c>
      <c r="J144" s="5">
        <f>IF(E144="","",1+COUNTIF($E$22:$E$153,"&gt;"&amp;E144))</f>
        <v>106</v>
      </c>
      <c r="K144" s="5">
        <f>IF(F144="","",1+COUNTIF($F$22:$F$153,"&gt;"&amp;F144))</f>
        <v>87</v>
      </c>
      <c r="L144" s="5">
        <f>IF(G144="","",1+COUNTIF($G$22:$G$153,"&gt;"&amp;G144))</f>
        <v>65</v>
      </c>
      <c r="M144" s="5">
        <f>IF(H144="","",MIN(H144:L144))</f>
        <v>65</v>
      </c>
      <c r="N144" s="5">
        <f>IF(H144="","",MAX(H144:L144))</f>
        <v>106</v>
      </c>
    </row>
    <row r="145">
      <c r="A145" s="7" t="str">
        <f>Secenekler!A128</f>
        <v>volley-tap-c</v>
      </c>
      <c r="B145" s="7" t="str">
        <f>Secenekler!C128</f>
        <v>itch.io tarayıcı demo ve ücretli premium paket</v>
      </c>
      <c r="C145" s="8">
        <f>IF(Hesap!D128="kaldi","",SUMPRODUCT($C$13:$AB$13,Puanlar!C128:AB128)/5)</f>
        <v>49.2</v>
      </c>
      <c r="D145" s="8">
        <f>IF(Hesap!D128="kaldi","",SUMPRODUCT($C$14:$AB$14,Puanlar!C128:AB128)/5)</f>
        <v>46.31168831168831</v>
      </c>
      <c r="E145" s="8">
        <f>IF(Hesap!D128="kaldi","",SUMPRODUCT($C$15:$AB$15,Puanlar!C128:AB128)/5)</f>
        <v>43.2916883116883</v>
      </c>
      <c r="F145" s="8">
        <f>IF(Hesap!D128="kaldi","",SUMPRODUCT($C$16:$AB$16,Puanlar!C128:AB128)/5)</f>
        <v>51.79808831168831</v>
      </c>
      <c r="G145" s="8">
        <f>IF(Hesap!D128="kaldi","",SUMPRODUCT($C$17:$AB$17,Puanlar!C128:AB128)/5)</f>
        <v>49.2942503030303</v>
      </c>
      <c r="H145" s="5">
        <f>IF(C145="","",1+COUNTIF($C$22:$C$153,"&gt;"&amp;C145))</f>
        <v>65</v>
      </c>
      <c r="I145" s="5">
        <f>IF(D145="","",1+COUNTIF($D$22:$D$153,"&gt;"&amp;D145))</f>
        <v>78</v>
      </c>
      <c r="J145" s="5">
        <f>IF(E145="","",1+COUNTIF($E$22:$E$153,"&gt;"&amp;E145))</f>
        <v>98</v>
      </c>
      <c r="K145" s="5">
        <f>IF(F145="","",1+COUNTIF($F$22:$F$153,"&gt;"&amp;F145))</f>
        <v>50</v>
      </c>
      <c r="L145" s="5">
        <f>IF(G145="","",1+COUNTIF($G$22:$G$153,"&gt;"&amp;G145))</f>
        <v>77</v>
      </c>
      <c r="M145" s="5">
        <f>IF(H145="","",MIN(H145:L145))</f>
        <v>50</v>
      </c>
      <c r="N145" s="5">
        <f>IF(H145="","",MAX(H145:L145))</f>
        <v>98</v>
      </c>
    </row>
    <row r="146">
      <c r="A146" s="7" t="str">
        <f>Secenekler!A129</f>
        <v>woocommnts-a</v>
      </c>
      <c r="B146" s="7" t="str">
        <f>Secenekler!C129</f>
        <v>Taksit ve kapıda ödeme eklentisi: ücretsiz çekirdek + Pro</v>
      </c>
      <c r="C146" s="8">
        <f>IF(Hesap!D129="kaldi","",SUMPRODUCT($C$13:$AB$13,Puanlar!C129:AB129)/5)</f>
        <v>58.6</v>
      </c>
      <c r="D146" s="8">
        <f>IF(Hesap!D129="kaldi","",SUMPRODUCT($C$14:$AB$14,Puanlar!C129:AB129)/5)</f>
        <v>57.55259740259739</v>
      </c>
      <c r="E146" s="8">
        <f>IF(Hesap!D129="kaldi","",SUMPRODUCT($C$15:$AB$15,Puanlar!C129:AB129)/5)</f>
        <v>56.80259740259739</v>
      </c>
      <c r="F146" s="8">
        <f>IF(Hesap!D129="kaldi","",SUMPRODUCT($C$16:$AB$16,Puanlar!C129:AB129)/5)</f>
        <v>58.96759740259741</v>
      </c>
      <c r="G146" s="8">
        <f>IF(Hesap!D129="kaldi","",SUMPRODUCT($C$17:$AB$17,Puanlar!C129:AB129)/5)</f>
        <v>58.49356969696971</v>
      </c>
      <c r="H146" s="5">
        <f>IF(C146="","",1+COUNTIF($C$22:$C$153,"&gt;"&amp;C146))</f>
        <v>4</v>
      </c>
      <c r="I146" s="5">
        <f>IF(D146="","",1+COUNTIF($D$22:$D$153,"&gt;"&amp;D146))</f>
        <v>6</v>
      </c>
      <c r="J146" s="5">
        <f>IF(E146="","",1+COUNTIF($E$22:$E$153,"&gt;"&amp;E146))</f>
        <v>8</v>
      </c>
      <c r="K146" s="5">
        <f>IF(F146="","",1+COUNTIF($F$22:$F$153,"&gt;"&amp;F146))</f>
        <v>9</v>
      </c>
      <c r="L146" s="5">
        <f>IF(G146="","",1+COUNTIF($G$22:$G$153,"&gt;"&amp;G146))</f>
        <v>7</v>
      </c>
      <c r="M146" s="5">
        <f>IF(H146="","",MIN(H146:L146))</f>
        <v>4</v>
      </c>
      <c r="N146" s="5">
        <f>IF(H146="","",MAX(H146:L146))</f>
        <v>9</v>
      </c>
    </row>
    <row r="147">
      <c r="A147" s="7" t="str">
        <f>Secenekler!A130</f>
        <v>woocommnts-b</v>
      </c>
      <c r="B147" s="7" t="str">
        <f>Secenekler!C130</f>
        <v>Ajans paketi: 10 site lisanslı taksit ve kapıda ödeme eklentisi</v>
      </c>
      <c r="C147" s="8">
        <f>IF(Hesap!D130="kaldi","",SUMPRODUCT($C$13:$AB$13,Puanlar!C130:AB130)/5)</f>
        <v>50.8</v>
      </c>
      <c r="D147" s="8">
        <f>IF(Hesap!D130="kaldi","",SUMPRODUCT($C$14:$AB$14,Puanlar!C130:AB130)/5)</f>
        <v>50.26168831168831</v>
      </c>
      <c r="E147" s="8">
        <f>IF(Hesap!D130="kaldi","",SUMPRODUCT($C$15:$AB$15,Puanlar!C130:AB130)/5)</f>
        <v>49.65168831168831</v>
      </c>
      <c r="F147" s="8">
        <f>IF(Hesap!D130="kaldi","",SUMPRODUCT($C$16:$AB$16,Puanlar!C130:AB130)/5)</f>
        <v>51.18188831168831</v>
      </c>
      <c r="G147" s="8">
        <f>IF(Hesap!D130="kaldi","",SUMPRODUCT($C$17:$AB$17,Puanlar!C130:AB130)/5)</f>
        <v>53.10662363636364</v>
      </c>
      <c r="H147" s="5">
        <f>IF(C147="","",1+COUNTIF($C$22:$C$153,"&gt;"&amp;C147))</f>
        <v>54</v>
      </c>
      <c r="I147" s="5">
        <f>IF(D147="","",1+COUNTIF($D$22:$D$153,"&gt;"&amp;D147))</f>
        <v>55</v>
      </c>
      <c r="J147" s="5">
        <f>IF(E147="","",1+COUNTIF($E$22:$E$153,"&gt;"&amp;E147))</f>
        <v>53</v>
      </c>
      <c r="K147" s="5">
        <f>IF(F147="","",1+COUNTIF($F$22:$F$153,"&gt;"&amp;F147))</f>
        <v>59</v>
      </c>
      <c r="L147" s="5">
        <f>IF(G147="","",1+COUNTIF($G$22:$G$153,"&gt;"&amp;G147))</f>
        <v>41</v>
      </c>
      <c r="M147" s="5">
        <f>IF(H147="","",MIN(H147:L147))</f>
        <v>41</v>
      </c>
      <c r="N147" s="5">
        <f>IF(H147="","",MAX(H147:L147))</f>
        <v>59</v>
      </c>
    </row>
    <row r="148">
      <c r="A148" s="7" t="str">
        <f>Secenekler!A131</f>
        <v>woocommnts-c</v>
      </c>
      <c r="B148" s="7" t="str">
        <f>Secenekler!C131</f>
        <v>Yorum göç hizmeti: izinli yorumları doğru ürüne eşleme</v>
      </c>
      <c r="C148" s="8">
        <f>IF(Hesap!D131="kaldi","",SUMPRODUCT($C$13:$AB$13,Puanlar!C131:AB131)/5)</f>
        <v>40.4</v>
      </c>
      <c r="D148" s="8">
        <f>IF(Hesap!D131="kaldi","",SUMPRODUCT($C$14:$AB$14,Puanlar!C131:AB131)/5)</f>
        <v>40.06818181818181</v>
      </c>
      <c r="E148" s="8">
        <f>IF(Hesap!D131="kaldi","",SUMPRODUCT($C$15:$AB$15,Puanlar!C131:AB131)/5)</f>
        <v>39.93818181818182</v>
      </c>
      <c r="F148" s="8">
        <f>IF(Hesap!D131="kaldi","",SUMPRODUCT($C$16:$AB$16,Puanlar!C131:AB131)/5)</f>
        <v>41.29478181818181</v>
      </c>
      <c r="G148" s="8">
        <f>IF(Hesap!D131="kaldi","",SUMPRODUCT($C$17:$AB$17,Puanlar!C131:AB131)/5)</f>
        <v>41.30380121212121</v>
      </c>
      <c r="H148" s="5">
        <f>IF(C148="","",1+COUNTIF($C$22:$C$153,"&gt;"&amp;C148))</f>
        <v>109</v>
      </c>
      <c r="I148" s="5">
        <f>IF(D148="","",1+COUNTIF($D$22:$D$153,"&gt;"&amp;D148))</f>
        <v>109</v>
      </c>
      <c r="J148" s="5">
        <f>IF(E148="","",1+COUNTIF($E$22:$E$153,"&gt;"&amp;E148))</f>
        <v>108</v>
      </c>
      <c r="K148" s="5">
        <f>IF(F148="","",1+COUNTIF($F$22:$F$153,"&gt;"&amp;F148))</f>
        <v>104</v>
      </c>
      <c r="L148" s="5">
        <f>IF(G148="","",1+COUNTIF($G$22:$G$153,"&gt;"&amp;G148))</f>
        <v>110</v>
      </c>
      <c r="M148" s="5">
        <f>IF(H148="","",MIN(H148:L148))</f>
        <v>104</v>
      </c>
      <c r="N148" s="5">
        <f>IF(H148="","",MAX(H148:L148))</f>
        <v>110</v>
      </c>
    </row>
    <row r="149">
      <c r="A149" s="7" t="str">
        <f>Secenekler!A132</f>
        <v>egitim-demolari-a</v>
      </c>
      <c r="B149" s="7" t="str">
        <f>Secenekler!C132</f>
        <v>Tek kazanımlı ders paketi (rehber ve cevap anahtarı)</v>
      </c>
      <c r="C149" s="8">
        <f>IF(Hesap!D132="kaldi","",SUMPRODUCT($C$13:$AB$13,Puanlar!C132:AB132)/5)</f>
        <v>51</v>
      </c>
      <c r="D149" s="8">
        <f>IF(Hesap!D132="kaldi","",SUMPRODUCT($C$14:$AB$14,Puanlar!C132:AB132)/5)</f>
        <v>48.05</v>
      </c>
      <c r="E149" s="8">
        <f>IF(Hesap!D132="kaldi","",SUMPRODUCT($C$15:$AB$15,Puanlar!C132:AB132)/5)</f>
        <v>45.62</v>
      </c>
      <c r="F149" s="8">
        <f>IF(Hesap!D132="kaldi","",SUMPRODUCT($C$16:$AB$16,Puanlar!C132:AB132)/5)</f>
        <v>51.6726</v>
      </c>
      <c r="G149" s="8">
        <f>IF(Hesap!D132="kaldi","",SUMPRODUCT($C$17:$AB$17,Puanlar!C132:AB132)/5)</f>
        <v>51.17651333333333</v>
      </c>
      <c r="H149" s="5">
        <f>IF(C149="","",1+COUNTIF($C$22:$C$153,"&gt;"&amp;C149))</f>
        <v>51</v>
      </c>
      <c r="I149" s="5">
        <f>IF(D149="","",1+COUNTIF($D$22:$D$153,"&gt;"&amp;D149))</f>
        <v>71</v>
      </c>
      <c r="J149" s="5">
        <f>IF(E149="","",1+COUNTIF($E$22:$E$153,"&gt;"&amp;E149))</f>
        <v>81</v>
      </c>
      <c r="K149" s="5">
        <f>IF(F149="","",1+COUNTIF($F$22:$F$153,"&gt;"&amp;F149))</f>
        <v>53</v>
      </c>
      <c r="L149" s="5">
        <f>IF(G149="","",1+COUNTIF($G$22:$G$153,"&gt;"&amp;G149))</f>
        <v>64</v>
      </c>
      <c r="M149" s="5">
        <f>IF(H149="","",MIN(H149:L149))</f>
        <v>51</v>
      </c>
      <c r="N149" s="5">
        <f>IF(H149="","",MAX(H149:L149))</f>
        <v>81</v>
      </c>
    </row>
    <row r="150">
      <c r="A150" s="7" t="str">
        <f>Secenekler!A133</f>
        <v>egitim-demolari-b</v>
      </c>
      <c r="B150" s="7" t="str">
        <f>Secenekler!C133</f>
        <v>Ekip atölyesi: prensipleri kendi işine uyarlama</v>
      </c>
      <c r="C150" s="8">
        <f>IF(Hesap!D133="kaldi","",SUMPRODUCT($C$13:$AB$13,Puanlar!C133:AB133)/5)</f>
        <v>47.8</v>
      </c>
      <c r="D150" s="8">
        <f>IF(Hesap!D133="kaldi","",SUMPRODUCT($C$14:$AB$14,Puanlar!C133:AB133)/5)</f>
        <v>47.27727272727272</v>
      </c>
      <c r="E150" s="8">
        <f>IF(Hesap!D133="kaldi","",SUMPRODUCT($C$15:$AB$15,Puanlar!C133:AB133)/5)</f>
        <v>46.72727272727273</v>
      </c>
      <c r="F150" s="8">
        <f>IF(Hesap!D133="kaldi","",SUMPRODUCT($C$16:$AB$16,Puanlar!C133:AB133)/5)</f>
        <v>47.51827272727272</v>
      </c>
      <c r="G150" s="8">
        <f>IF(Hesap!D133="kaldi","",SUMPRODUCT($C$17:$AB$17,Puanlar!C133:AB133)/5)</f>
        <v>48.10618181818182</v>
      </c>
      <c r="H150" s="5">
        <f>IF(C150="","",1+COUNTIF($C$22:$C$153,"&gt;"&amp;C150))</f>
        <v>75</v>
      </c>
      <c r="I150" s="5">
        <f>IF(D150="","",1+COUNTIF($D$22:$D$153,"&gt;"&amp;D150))</f>
        <v>75</v>
      </c>
      <c r="J150" s="5">
        <f>IF(E150="","",1+COUNTIF($E$22:$E$153,"&gt;"&amp;E150))</f>
        <v>72</v>
      </c>
      <c r="K150" s="5">
        <f>IF(F150="","",1+COUNTIF($F$22:$F$153,"&gt;"&amp;F150))</f>
        <v>75</v>
      </c>
      <c r="L150" s="5">
        <f>IF(G150="","",1+COUNTIF($G$22:$G$153,"&gt;"&amp;G150))</f>
        <v>86</v>
      </c>
      <c r="M150" s="5">
        <f>IF(H150="","",MIN(H150:L150))</f>
        <v>72</v>
      </c>
      <c r="N150" s="5">
        <f>IF(H150="","",MAX(H150:L150))</f>
        <v>86</v>
      </c>
    </row>
    <row r="151">
      <c r="A151" s="7" t="str">
        <f>Secenekler!A134</f>
        <v>baz-secenekler-a</v>
      </c>
      <c r="B151" s="7" t="str">
        <f>Secenekler!C134</f>
        <v>Günlük ücretli danışmanlık ya da yazılım işi (aynı saatlerde)</v>
      </c>
      <c r="C151" s="8">
        <f>IF(Hesap!D134="kaldi","",SUMPRODUCT($C$13:$AB$13,Puanlar!C134:AB134)/5)</f>
        <v>56.4</v>
      </c>
      <c r="D151" s="8">
        <f>IF(Hesap!D134="kaldi","",SUMPRODUCT($C$14:$AB$14,Puanlar!C134:AB134)/5)</f>
        <v>57.49805194805194</v>
      </c>
      <c r="E151" s="8">
        <f>IF(Hesap!D134="kaldi","",SUMPRODUCT($C$15:$AB$15,Puanlar!C134:AB134)/5)</f>
        <v>58.24805194805194</v>
      </c>
      <c r="F151" s="8">
        <f>IF(Hesap!D134="kaldi","",SUMPRODUCT($C$16:$AB$16,Puanlar!C134:AB134)/5)</f>
        <v>56.24305194805195</v>
      </c>
      <c r="G151" s="8">
        <f>IF(Hesap!D134="kaldi","",SUMPRODUCT($C$17:$AB$17,Puanlar!C134:AB134)/5)</f>
        <v>60.5606393939394</v>
      </c>
      <c r="H151" s="5">
        <f>IF(C151="","",1+COUNTIF($C$22:$C$153,"&gt;"&amp;C151))</f>
        <v>12</v>
      </c>
      <c r="I151" s="5">
        <f>IF(D151="","",1+COUNTIF($D$22:$D$153,"&gt;"&amp;D151))</f>
        <v>7</v>
      </c>
      <c r="J151" s="5">
        <f>IF(E151="","",1+COUNTIF($E$22:$E$153,"&gt;"&amp;E151))</f>
        <v>4</v>
      </c>
      <c r="K151" s="5">
        <f>IF(F151="","",1+COUNTIF($F$22:$F$153,"&gt;"&amp;F151))</f>
        <v>29</v>
      </c>
      <c r="L151" s="5">
        <f>IF(G151="","",1+COUNTIF($G$22:$G$153,"&gt;"&amp;G151))</f>
        <v>2</v>
      </c>
      <c r="M151" s="5">
        <f>IF(H151="","",MIN(H151:L151))</f>
        <v>2</v>
      </c>
      <c r="N151" s="5">
        <f>IF(H151="","",MAX(H151:L151))</f>
        <v>29</v>
      </c>
    </row>
    <row r="152">
      <c r="A152" s="7" t="str">
        <f>Secenekler!A135</f>
        <v>baz-secenekler-b</v>
      </c>
      <c r="B152" s="7" t="str">
        <f>Secenekler!C135</f>
        <v>Mevcut Django kod tabanının ajanslara kurulumlu satışı</v>
      </c>
      <c r="C152" s="8">
        <f>IF(Hesap!D135="kaldi","",SUMPRODUCT($C$13:$AB$13,Puanlar!C135:AB135)/5)</f>
        <v>43</v>
      </c>
      <c r="D152" s="8">
        <f>IF(Hesap!D135="kaldi","",SUMPRODUCT($C$14:$AB$14,Puanlar!C135:AB135)/5)</f>
        <v>43.58896103896105</v>
      </c>
      <c r="E152" s="8">
        <f>IF(Hesap!D135="kaldi","",SUMPRODUCT($C$15:$AB$15,Puanlar!C135:AB135)/5)</f>
        <v>43.69896103896103</v>
      </c>
      <c r="F152" s="8">
        <f>IF(Hesap!D135="kaldi","",SUMPRODUCT($C$16:$AB$16,Puanlar!C135:AB135)/5)</f>
        <v>41.93876103896103</v>
      </c>
      <c r="G152" s="8">
        <f>IF(Hesap!D135="kaldi","",SUMPRODUCT($C$17:$AB$17,Puanlar!C135:AB135)/5)</f>
        <v>46.66895212121213</v>
      </c>
      <c r="H152" s="5">
        <f>IF(C152="","",1+COUNTIF($C$22:$C$153,"&gt;"&amp;C152))</f>
        <v>101</v>
      </c>
      <c r="I152" s="5">
        <f>IF(D152="","",1+COUNTIF($D$22:$D$153,"&gt;"&amp;D152))</f>
        <v>99</v>
      </c>
      <c r="J152" s="5">
        <f>IF(E152="","",1+COUNTIF($E$22:$E$153,"&gt;"&amp;E152))</f>
        <v>94</v>
      </c>
      <c r="K152" s="5">
        <f>IF(F152="","",1+COUNTIF($F$22:$F$153,"&gt;"&amp;F152))</f>
        <v>101</v>
      </c>
      <c r="L152" s="5">
        <f>IF(G152="","",1+COUNTIF($G$22:$G$153,"&gt;"&amp;G152))</f>
        <v>96</v>
      </c>
      <c r="M152" s="5">
        <f>IF(H152="","",MIN(H152:L152))</f>
        <v>94</v>
      </c>
      <c r="N152" s="5">
        <f>IF(H152="","",MAX(H152:L152))</f>
        <v>101</v>
      </c>
    </row>
    <row r="153">
      <c r="A153" s="7" t="str">
        <f>Secenekler!A136</f>
        <v>baz-secenekler-c</v>
      </c>
      <c r="B153" s="7" t="str">
        <f>Secenekler!C136</f>
        <v>Kamu destek programı başvurusu: TÜBİTAK 1812 ön tohum yatırımı</v>
      </c>
      <c r="C153" s="8">
        <f>IF(Hesap!D136="kaldi","",SUMPRODUCT($C$13:$AB$13,Puanlar!C136:AB136)/5)</f>
        <v>41.8</v>
      </c>
      <c r="D153" s="8">
        <f>IF(Hesap!D136="kaldi","",SUMPRODUCT($C$14:$AB$14,Puanlar!C136:AB136)/5)</f>
        <v>42.62467532467532</v>
      </c>
      <c r="E153" s="8">
        <f>IF(Hesap!D136="kaldi","",SUMPRODUCT($C$15:$AB$15,Puanlar!C136:AB136)/5)</f>
        <v>42.16467532467532</v>
      </c>
      <c r="F153" s="8">
        <f>IF(Hesap!D136="kaldi","",SUMPRODUCT($C$16:$AB$16,Puanlar!C136:AB136)/5)</f>
        <v>39.88187532467532</v>
      </c>
      <c r="G153" s="8">
        <f>IF(Hesap!D136="kaldi","",SUMPRODUCT($C$17:$AB$17,Puanlar!C136:AB136)/5)</f>
        <v>46.9666387878788</v>
      </c>
      <c r="H153" s="5">
        <f>IF(C153="","",1+COUNTIF($C$22:$C$153,"&gt;"&amp;C153))</f>
        <v>106</v>
      </c>
      <c r="I153" s="5">
        <f>IF(D153="","",1+COUNTIF($D$22:$D$153,"&gt;"&amp;D153))</f>
        <v>103</v>
      </c>
      <c r="J153" s="5">
        <f>IF(E153="","",1+COUNTIF($E$22:$E$153,"&gt;"&amp;E153))</f>
        <v>101</v>
      </c>
      <c r="K153" s="5">
        <f>IF(F153="","",1+COUNTIF($F$22:$F$153,"&gt;"&amp;F153))</f>
        <v>107</v>
      </c>
      <c r="L153" s="5">
        <f>IF(G153="","",1+COUNTIF($G$22:$G$153,"&gt;"&amp;G153))</f>
        <v>93</v>
      </c>
      <c r="M153" s="5">
        <f>IF(H153="","",MIN(H153:L153))</f>
        <v>93</v>
      </c>
      <c r="N153" s="5">
        <f>IF(H153="","",MAX(H153:L153))</f>
        <v>107</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13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46" customWidth="1" min="3" max="3"/>
    <col width="52" customWidth="1" min="4" max="4"/>
    <col width="10" customWidth="1" min="5" max="5"/>
    <col width="12" customWidth="1" min="6" max="6"/>
    <col width="12" customWidth="1" min="7" max="7"/>
    <col width="40" customWidth="1" min="8" max="8"/>
    <col width="40" customWidth="1" min="9" max="9"/>
    <col width="40" customWidth="1" min="10" max="10"/>
    <col width="30" customWidth="1" min="11" max="11"/>
    <col width="14" customWidth="1" min="12" max="12"/>
    <col width="20" customWidth="1" min="13" max="13"/>
  </cols>
  <sheetData>
    <row r="1">
      <c r="A1" s="1" t="inlineStr">
        <is>
          <t>Deney kartları</t>
        </is>
      </c>
    </row>
    <row r="2">
      <c r="A2" s="3" t="inlineStr">
        <is>
          <t>Sonuç geldiğinde K-M sütunlarını doldurun; ilgili puanı ve kanıt kodunu güncelleyin.</t>
        </is>
      </c>
    </row>
    <row r="4">
      <c r="A4" s="4" t="inlineStr">
        <is>
          <t>Kimlik</t>
        </is>
      </c>
      <c r="B4" s="4" t="inlineStr">
        <is>
          <t>Seçenek</t>
        </is>
      </c>
      <c r="C4" s="4" t="inlineStr">
        <is>
          <t>En riskli varsayım</t>
        </is>
      </c>
      <c r="D4" s="4" t="inlineStr">
        <is>
          <t>Yöntem</t>
        </is>
      </c>
      <c r="E4" s="4" t="inlineStr">
        <is>
          <t>Süre (gün)</t>
        </is>
      </c>
      <c r="F4" s="4" t="inlineStr">
        <is>
          <t>Maliyet (saat)</t>
        </is>
      </c>
      <c r="G4" s="4" t="inlineStr">
        <is>
          <t>Maliyet (₺)</t>
        </is>
      </c>
      <c r="H4" s="4" t="inlineStr">
        <is>
          <t>Başarı ölçütü</t>
        </is>
      </c>
      <c r="I4" s="4" t="inlineStr">
        <is>
          <t>Bırakma ölçütü</t>
        </is>
      </c>
      <c r="J4" s="4" t="inlineStr">
        <is>
          <t>Başarılıysa açılacak dilim</t>
        </is>
      </c>
      <c r="K4" s="4" t="inlineStr">
        <is>
          <t>Sonuç</t>
        </is>
      </c>
      <c r="L4" s="4" t="inlineStr">
        <is>
          <t>Tarih</t>
        </is>
      </c>
      <c r="M4" s="4" t="inlineStr">
        <is>
          <t>Karar</t>
        </is>
      </c>
    </row>
    <row r="5">
      <c r="A5" s="7" t="str">
        <f>Secenekler!A5</f>
        <v>zabuno-a</v>
      </c>
      <c r="B5" s="7" t="str">
        <f>Secenekler!C5</f>
        <v>Kafe aboneliği: kurulum dahil Restaurant planı</v>
      </c>
      <c r="C5" s="16" t="inlineStr">
        <is>
          <t>Kafe sahibi, ücretsiz ay sonunda 499 TL/ay Restaurant planı için havale yapar.</t>
        </is>
      </c>
      <c r="D5" s="16" t="inlineStr">
        <is>
          <t>Kadıköy, Beşiktaş ve Şişli'de 20 kafeyi ziyaret et; 8'ine ücretsiz kurulum yap; 30. günde ödeme iste ve kayıt tut.</t>
        </is>
      </c>
      <c r="E5" s="24" t="n">
        <v>45</v>
      </c>
      <c r="F5" s="24" t="n">
        <v>40</v>
      </c>
      <c r="G5" s="24" t="n">
        <v>4800</v>
      </c>
      <c r="H5" s="16" t="inlineStr">
        <is>
          <t>8 kurulumdan en az 3 kafe ilk ay sonunda ödeme yapar (havale kaydı)</t>
        </is>
      </c>
      <c r="I5" s="16" t="inlineStr">
        <is>
          <t>8 kurulumdan 1 veya hiç ödeme yoksa abonelik teklifini bırak, fiyat ve paketi yeniden kur</t>
        </is>
      </c>
      <c r="J5" s="16" t="inlineStr">
        <is>
          <t>Başarıda matbaa ve mali müşavir ortaklarını ekle; ödeyen sayısı 10'a çıkınca zincir pilotuna geç.</t>
        </is>
      </c>
    </row>
    <row r="6">
      <c r="A6" s="7" t="str">
        <f>Secenekler!A6</f>
        <v>zabuno-b</v>
      </c>
      <c r="B6" s="7" t="str">
        <f>Secenekler!C6</f>
        <v>Zincir planı: çok şubeli kahve zinciri pilotu</v>
      </c>
      <c r="C6" s="16" t="inlineStr">
        <is>
          <t>Zincir pazarlama yöneticisi, merkezden yayın ve şube karşılaştırması için pilot sonunda yıllık sözleşme imzalar.</t>
        </is>
      </c>
      <c r="D6" s="16" t="inlineStr">
        <is>
          <t>2 sayfalık teklifi ve 3 şube pilot planını yazılı gönder; 20 dakikalık toplantı yap; ilk 60 gün ölçüm kriterlerini ortak yaz.</t>
        </is>
      </c>
      <c r="E6" s="24" t="n">
        <v>30</v>
      </c>
      <c r="F6" s="24" t="n">
        <v>15</v>
      </c>
      <c r="G6" s="24" t="n">
        <v>0</v>
      </c>
      <c r="H6" s="16" t="inlineStr">
        <is>
          <t>Yazılı 3 şube pilot onayı ve ücretli kapsam için fiyat konuşması</t>
        </is>
      </c>
      <c r="I6" s="16" t="inlineStr">
        <is>
          <t>30 günde yazılı pilot onayı veya imza takvimi yoksa zincir hattını beklemeye al</t>
        </is>
      </c>
      <c r="J6" s="16" t="inlineStr">
        <is>
          <t>Onayda yalnız merkezden onaylı yayın dilimini 8 haftada yaz; diğer modülleri sözleşmeye bağla.</t>
        </is>
      </c>
    </row>
    <row r="7">
      <c r="A7" s="7" t="str">
        <f>Secenekler!A7</f>
        <v>zabuno-c</v>
      </c>
      <c r="B7" s="7" t="str">
        <f>Secenekler!C7</f>
        <v>Restoran paneli modül uyarlama hizmeti</v>
      </c>
      <c r="C7" s="16" t="inlineStr">
        <is>
          <t>Bir ajans veya restoran, anonim demoyu görünce tek modül için sabit paketi satın alır.</t>
        </is>
      </c>
      <c r="D7" s="16" t="inlineStr">
        <is>
          <t>Sentetik medya onayı demosunu ve kapsam sayfasını hazırla; 20 ajansa kısa teklif gönder; yanıtları ve fiyat tepkilerini kaydet.</t>
        </is>
      </c>
      <c r="E7" s="24" t="n">
        <v>21</v>
      </c>
      <c r="F7" s="24" t="n">
        <v>25</v>
      </c>
      <c r="G7" s="24" t="n">
        <v>0</v>
      </c>
      <c r="H7" s="16" t="inlineStr">
        <is>
          <t>20 teklifte en az 2 görüşme ve 1 yazılı fiyat ya da ön ödeme niyeti</t>
        </is>
      </c>
      <c r="I7" s="16" t="inlineStr">
        <is>
          <t>20 tekliften hiç görüşme çıkmazsa hizmet hattını bırak</t>
        </is>
      </c>
      <c r="J7" s="16" t="inlineStr">
        <is>
          <t>Talep varsa aynı modülü şablon kit olarak paketle; tekrar eden sipariş görülünce abonelik düşün.</t>
        </is>
      </c>
    </row>
    <row r="8">
      <c r="A8" s="7" t="str">
        <f>Secenekler!A8</f>
        <v>parselq-a</v>
      </c>
      <c r="B8" s="7" t="str">
        <f>Secenekler!C8</f>
        <v>ParselQ Rapor: tek parsel bilgi notu (bireysel alıcı)</v>
      </c>
      <c r="C8" s="16" t="inlineStr">
        <is>
          <t>Bireysel alıcı ücretsiz ön kontrolden sonra 299-499 ₺ ödeyecek ve ikinci parsel için tekrar alacak</t>
        </is>
      </c>
      <c r="D8" s="16" t="inlineStr">
        <is>
          <t>Ön kontrol formu ve 3 örnek rapor yayınla; ilçe rehberleri ile Ekşi/forum cevaplarından gelen talepleri ücretsiz ön kontrole al, sipariş bağlantısı gönder; dönüşümü kanıt defterine yaz.</t>
        </is>
      </c>
      <c r="E8" s="24" t="n">
        <v>30</v>
      </c>
      <c r="F8" s="24" t="n">
        <v>40</v>
      </c>
      <c r="G8" s="24" t="n">
        <v>1500</v>
      </c>
      <c r="H8" s="16" t="inlineStr">
        <is>
          <t>30 günde en az 5 ücretli rapor ve ön kontrolden siparişe dönüşüm en az %8</t>
        </is>
      </c>
      <c r="I8" s="16" t="inlineStr">
        <is>
          <t>30 günde 2'den az ücretli rapor ya da ön kontrolden siparişe dönüşüm %2'nin altında</t>
        </is>
      </c>
      <c r="J8" s="16" t="inlineStr">
        <is>
          <t>Başarılıysa Parsel Kartı ile birleşik emlakçı denemesi ve otomatik rapor; ücretli arama yalnız tekrar alım %15 üstündeyse</t>
        </is>
      </c>
    </row>
    <row r="9">
      <c r="A9" s="7" t="str">
        <f>Secenekler!A9</f>
        <v>parselq-b</v>
      </c>
      <c r="B9" s="7" t="str">
        <f>Secenekler!C9</f>
        <v>Parsel Kartı: emlakçıya arsa ilanı için güven kartı aboneliği</v>
      </c>
      <c r="C9" s="16" t="inlineStr">
        <is>
          <t>Arsa odaklı ofisler 7 günlük denemeden sonra ayda 299-499 ₺ ödeyecek ve her ay kart üretmeye devam edecek</t>
        </is>
      </c>
      <c r="D9" s="16" t="inlineStr">
        <is>
          <t>15 ofisle WhatsApp; 5'ine 3 ücretsiz kart, 7 gün deneme, ardından ödeme bağlantısı. Kart başına QR tıklaması ve alıcı sorusundaki azalma ofisçe bildirilir; kanıt defterine yazılır.</t>
        </is>
      </c>
      <c r="E9" s="24" t="n">
        <v>35</v>
      </c>
      <c r="F9" s="24" t="n">
        <v>35</v>
      </c>
      <c r="G9" s="24" t="n">
        <v>300</v>
      </c>
      <c r="H9" s="16" t="inlineStr">
        <is>
          <t>5 deneme ofisinden en az 2'si öder; kart başına ortalama en az 3 QR tıklaması</t>
        </is>
      </c>
      <c r="I9" s="16" t="inlineStr">
        <is>
          <t>35 günde 15 görüşmeden ödeyen ofis yok ya da denemeden ödemeye dönüşüm %10'un altında</t>
        </is>
      </c>
      <c r="J9" s="16" t="inlineStr">
        <is>
          <t>Başarılıysa ofis paneli, rapor indirimi ve dernek sunumu; 10 ödeyen ofise ulaşınca Parsel Kartı için fiyat basamakları</t>
        </is>
      </c>
    </row>
    <row r="10">
      <c r="A10" s="7" t="str">
        <f>Secenekler!A10</f>
        <v>parselq-c</v>
      </c>
      <c r="B10" s="7" t="str">
        <f>Secenekler!C10</f>
        <v>Uzmanlı karar dosyası: kaynak izli arsa raporu (danışmanlık ofisi)</v>
      </c>
      <c r="C10" s="16" t="inlineStr">
        <is>
          <t>Gerçek ilişkisi olan bir danışmanlık ofisi, uzman onaylı kaynak izli dosyaya rapor başına 4.000 ₺ ödeyecek ve ikinci dosyayı getirecek</t>
        </is>
      </c>
      <c r="D10" s="16" t="inlineStr">
        <is>
          <t>Beş sentetik dosya ve anonim örnekle iki yetkili pilot iste; bir pilotu ücretli teklife çevir; kabul, düzeltme sayısı ve operatör ile uzman saatlerini ölç.</t>
        </is>
      </c>
      <c r="E10" s="24" t="n">
        <v>45</v>
      </c>
      <c r="F10" s="24" t="n">
        <v>40</v>
      </c>
      <c r="G10" s="24" t="n">
        <v>800</v>
      </c>
      <c r="H10" s="16" t="inlineStr">
        <is>
          <t>En az bir ofis ücretli ilk dosyayı ödeyip ikinci dosya için yazılı niyet bildirir; kaynak kapsamı %80 üstü</t>
        </is>
      </c>
      <c r="I10" s="16" t="inlineStr">
        <is>
          <t>45 günde yetkili pilot bulunamaz ya da iki kritik imar iddiası hatalı çıkar</t>
        </is>
      </c>
      <c r="J10" s="16" t="inlineStr">
        <is>
          <t>Başarılıysa sürüm karşılaştırma, süreli paylaşım bağlantısı ve rol ayrımı; aksi halde modülleri Parsel Kartı ve Rapor'a kat</t>
        </is>
      </c>
    </row>
    <row r="11">
      <c r="A11" s="7" t="str">
        <f>Secenekler!A11</f>
        <v>destektesvik-a</v>
      </c>
      <c r="B11" s="7" t="str">
        <f>Secenekler!C11</f>
        <v>Uzman onaylı ön değerlendirme raporu (KOBİ)</v>
      </c>
      <c r="C11" s="16" t="inlineStr">
        <is>
          <t>Kapanışa 4-6 hafta kala bir KOBİ kurucusu kaynaklı, uzman onaylı rapora 2.990 TL öder</t>
        </is>
      </c>
      <c r="D11" s="16" t="inlineStr">
        <is>
          <t>2 programı uzmanla doğrula, 10 KOBİ'ye (tanıdık, TTO ve teknopark üzerinden) rapor teklifi gönder, ilk 3 raporu elle teslim et, ödemeyi havale ile al.</t>
        </is>
      </c>
      <c r="E11" s="24" t="n">
        <v>30</v>
      </c>
      <c r="F11" s="24" t="n">
        <v>40</v>
      </c>
      <c r="G11" s="24" t="n">
        <v>12000</v>
      </c>
      <c r="H11" s="16" t="inlineStr">
        <is>
          <t>10 tekliften en az 2 ödeme (5.980 TL) ve en az 1 TTO yanıtı</t>
        </is>
      </c>
      <c r="I11" s="16" t="inlineStr">
        <is>
          <t>10 teklifte ödeme yok ve itiraz 'ücretsiz kaynak yeter' ise fiyat ve kapsam yeniden tasarlanır</t>
        </is>
      </c>
      <c r="J11" s="16" t="inlineStr">
        <is>
          <t>10 rapora çık, 4 programı 15'e çıkar, izleme aboneliğini ve danışman pilotunu aç</t>
        </is>
      </c>
    </row>
    <row r="12">
      <c r="A12" s="7" t="str">
        <f>Secenekler!A12</f>
        <v>destektesvik-b</v>
      </c>
      <c r="B12" s="7" t="str">
        <f>Secenekler!C12</f>
        <v>Mali müşavir ve danışman portföy tarama paketi</v>
      </c>
      <c r="C12" s="16" t="inlineStr">
        <is>
          <t>Bir mali müşavir portföy taramasına ve markalı rapora ayda 2.990 TL öder</t>
        </is>
      </c>
      <c r="D12" s="16" t="inlineStr">
        <is>
          <t>Bir oda webinarı ver, 2 büro ile 25 şirketlik CSV pilotu kur, çıktıyı elle üret, 4. haftada ücret teklifini ve markalı raporun müşteriye gidip gitmediğini sor.</t>
        </is>
      </c>
      <c r="E12" s="24" t="n">
        <v>60</v>
      </c>
      <c r="F12" s="24" t="n">
        <v>60</v>
      </c>
      <c r="G12" s="24" t="n">
        <v>15000</v>
      </c>
      <c r="H12" s="16" t="inlineStr">
        <is>
          <t>2 büro pilotu, bunlardan en az 1'i ücretli pakete geçer; en az 5 markalı rapor müşteriye gider</t>
        </is>
      </c>
      <c r="I12" s="16" t="inlineStr">
        <is>
          <t>10 büro görüşmesinden 3'ten az pilot kabulü ya da hiçbir büro ücretli pakete geçmezse durdur</t>
        </is>
      </c>
      <c r="J12" s="16" t="inlineStr">
        <is>
          <t>Pilot sonrası rol ve çok kullanıcı özelliklerini yaz, 10 ödeyen büro hedefine git</t>
        </is>
      </c>
    </row>
    <row r="13">
      <c r="A13" s="7" t="str">
        <f>Secenekler!A13</f>
        <v>destektesvik-c</v>
      </c>
      <c r="B13" s="7" t="str">
        <f>Secenekler!C13</f>
        <v>Oda ve OSB üye taraması sponsorluk paketi</v>
      </c>
      <c r="C13" s="16" t="inlineStr">
        <is>
          <t>Bir oda ya da OSB üyelerine ücretsiz tarama için bütçe ayırır ve 60.000 TL öder</t>
        </is>
      </c>
      <c r="D13" s="16" t="inlineStr">
        <is>
          <t>5 kuruma pilot teklifi, kabul eden ile 20 üyelik 8 hafta tarama; üyelerin ücretli rapor alımı ve kurumun yenileme niyeti yazılı sorulur.</t>
        </is>
      </c>
      <c r="E13" s="24" t="n">
        <v>70</v>
      </c>
      <c r="F13" s="24" t="n">
        <v>50</v>
      </c>
      <c r="G13" s="24" t="n">
        <v>5000</v>
      </c>
      <c r="H13" s="16" t="inlineStr">
        <is>
          <t>En az 1 kurum pilotu kabul eder ve pilotta en az 5 ücretli rapor satılır</t>
        </is>
      </c>
      <c r="I13" s="16" t="inlineStr">
        <is>
          <t>5 teklifte kabul yok ya da pilotta 5'ten az rapor çıkarsa kurumsal kanal ertelenir</t>
        </is>
      </c>
      <c r="J13" s="16" t="inlineStr">
        <is>
          <t>Kurumsal paketi sabit kapsamlı yaz, ikinci kurum ve yıllık sözleşme görüşmesi</t>
        </is>
      </c>
    </row>
    <row r="14">
      <c r="A14" s="7" t="str">
        <f>Secenekler!A14</f>
        <v>asgari-iscilik-a</v>
      </c>
      <c r="B14" s="7" t="str">
        <f>Secenekler!C14</f>
        <v>Bir inşaat firmasına sabit fiyatlı uyum yazılımı projesi</v>
      </c>
      <c r="C14" s="16" t="inlineStr">
        <is>
          <t>Müşteri, sahiplik anlaşması bağlandıktan sonra yüzde 30 avansla 360.000 ₺'lik sabit fiyatlı teklifi imzalar</t>
        </is>
      </c>
      <c r="D14" s="16" t="inlineStr">
        <is>
          <t>Anlaşma sonrası 45 dakikalık sunum, müşterinin iki gerçek senaryosunda kuruş kanıtı prototipi, imzaya hazır teklif formu.</t>
        </is>
      </c>
      <c r="E14" s="24" t="n">
        <v>30</v>
      </c>
      <c r="F14" s="24" t="n">
        <v>60</v>
      </c>
      <c r="G14" s="24" t="n">
        <v>20000</v>
      </c>
      <c r="H14" s="16" t="inlineStr">
        <is>
          <t>Yazılı niyet ya da avans; iki senaryoda sapma 0,01 ₺ altı</t>
        </is>
      </c>
      <c r="I14" s="16" t="inlineStr">
        <is>
          <t>60 gün içinde yazılı anlaşma ya da imza çıkmazsa projeyi beklemeye al</t>
        </is>
      </c>
      <c r="J14" s="16" t="inlineStr">
        <is>
          <t>Avans gelirse ilk dört modül; kabul sonrası bakım ve ikinci modül dilimi</t>
        </is>
      </c>
    </row>
    <row r="15">
      <c r="A15" s="7" t="str">
        <f>Secenekler!A15</f>
        <v>asgari-iscilik-b</v>
      </c>
      <c r="B15" s="7" t="str">
        <f>Secenekler!C15</f>
        <v>Mali müşavir ve yükleniciye aylık abonelik (çok kiracılı platform)</v>
      </c>
      <c r="C15" s="16" t="inlineStr">
        <is>
          <t>Mali müşavirler çalışan ürün olmadan, genelge rehberi ve hesaplayıcı karşılığında sekiz haftalık pilota ve ardından ödemeye razı olur</t>
        </is>
      </c>
      <c r="D15" s="16" t="inlineStr">
        <is>
          <t>İki oda webinarı, ücretsiz hesaplayıcı ve rehber; webinar sonrası pilot daveti ve 30 gün sonunda fiyat teklifi.</t>
        </is>
      </c>
      <c r="E15" s="24" t="n">
        <v>60</v>
      </c>
      <c r="F15" s="24" t="n">
        <v>40</v>
      </c>
      <c r="G15" s="24" t="n">
        <v>2000</v>
      </c>
      <c r="H15" s="16" t="inlineStr">
        <is>
          <t>En az 4 pilot talebi ve 2 yazılı ödeme niyeti</t>
        </is>
      </c>
      <c r="I15" s="16" t="inlineStr">
        <is>
          <t>60 günde 2 pilottan az talep ya da hiç ödeme niyeti yok</t>
        </is>
      </c>
      <c r="J15" s="16" t="inlineStr">
        <is>
          <t>Seçenek C ile para kazan; talep ve senaryolar gelince çekirdeği üret</t>
        </is>
      </c>
    </row>
    <row r="16">
      <c r="A16" s="7" t="str">
        <f>Secenekler!A16</f>
        <v>asgari-iscilik-c</v>
      </c>
      <c r="B16" s="7" t="str">
        <f>Secenekler!C16</f>
        <v>Asgari işçilik hesap ve dosya kontrol raporu (uzman teyitli)</v>
      </c>
      <c r="C16" s="16" t="inlineStr">
        <is>
          <t>Bir yüklenici ya da mali müşavir, bu tablo kontrolü için 10.000 ₺'yi uzman teyitli rapora öder</t>
        </is>
      </c>
      <c r="D16" s="16" t="inlineStr">
        <is>
          <t>Genelge rehberi ve ücretsiz teşhis ile 30 hedef kişiye kişisel mesaj; ilk izinli dosyada kontrol ve rapor, ücret teklif edilir.</t>
        </is>
      </c>
      <c r="E16" s="24" t="n">
        <v>30</v>
      </c>
      <c r="F16" s="24" t="n">
        <v>50</v>
      </c>
      <c r="G16" s="24" t="n">
        <v>8000</v>
      </c>
      <c r="H16" s="16" t="inlineStr">
        <is>
          <t>İki izinli dosya ve en az bir ücretli rapor (10.000 ₺ tahsil)</t>
        </is>
      </c>
      <c r="I16" s="16" t="inlineStr">
        <is>
          <t>30 günde 6 teşhis görüşmesi olup ödeme isteği sıfırsa fiyat ve kitleyi değiştir</t>
        </is>
      </c>
      <c r="J16" s="16" t="inlineStr">
        <is>
          <t>Üç dosya ve 50 etiketli bulguyla tekrar dönem paketi; 90. günde aynı müşteriden ikinci dönem</t>
        </is>
      </c>
    </row>
    <row r="17">
      <c r="A17" s="7" t="str">
        <f>Secenekler!A17</f>
        <v>zincir-danismanligi-a</v>
      </c>
      <c r="B17" s="7" t="str">
        <f>Secenekler!C17</f>
        <v>90 günlük dijital satış sistemi paketi (çok şubeli zincir)</v>
      </c>
      <c r="C17" s="16" t="inlineStr">
        <is>
          <t>Genel müdür 180.000 TL sabit fiyatı ve kabul ölçütlü üç taksiti onaylar.</t>
        </is>
      </c>
      <c r="D17" s="16" t="inlineStr">
        <is>
          <t>Genel müdüre 2 sayfalık teklif; 20 dakikalık görüşme; 2 hafta geçerlilik; taslak sözleşme ve kabul ekiyle imza istenir.</t>
        </is>
      </c>
      <c r="E17" s="24" t="n">
        <v>14</v>
      </c>
      <c r="F17" s="24" t="n">
        <v>12</v>
      </c>
      <c r="G17" s="24" t="n">
        <v>0</v>
      </c>
      <c r="H17" s="16" t="inlineStr">
        <is>
          <t>Teklif imzalanır ve ilk taksit olan 72.000 TL tahsil edilir.</t>
        </is>
      </c>
      <c r="I17" s="16" t="inlineStr">
        <is>
          <t>14 günde yazılı yanıt yok ya da fiyat reddi; kapsamı küçük denetim raporuna indir.</t>
        </is>
      </c>
      <c r="J17" s="16" t="inlineStr">
        <is>
          <t>30. gün ölçüm kabulüyle ikinci taksit; ardından aylık yönetim ve Zabuno çok sayıda şube teklifi.</t>
        </is>
      </c>
    </row>
    <row r="18">
      <c r="A18" s="7" t="str">
        <f>Secenekler!A18</f>
        <v>zincir-danismanligi-b</v>
      </c>
      <c r="B18" s="7" t="str">
        <f>Secenekler!C18</f>
        <v>Kahve zinciri dijital denetim raporu (2 hafta)</v>
      </c>
      <c r="C18" s="16" t="inlineStr">
        <is>
          <t>Soğuk ulaşılan zincir pazarlama müdürü, tanışıklık olmadan 30.000 TL ödeyerek denetim ister.</t>
        </is>
      </c>
      <c r="D18" s="16" t="inlineStr">
        <is>
          <t>30 zincirden 20'sine ön denetim özeti içeren kısa mesaj ve olgunluk testi bağlantısı; ilgilenene 20 dakikalık görüşme ve yazılı teklif.</t>
        </is>
      </c>
      <c r="E18" s="24" t="n">
        <v>28</v>
      </c>
      <c r="F18" s="24" t="n">
        <v>20</v>
      </c>
      <c r="G18" s="24" t="n">
        <v>0</v>
      </c>
      <c r="H18" s="16" t="inlineStr">
        <is>
          <t>20 mesajdan en az 3 görüşme ve 1 ödenen rapor.</t>
        </is>
      </c>
      <c r="I18" s="16" t="inlineStr">
        <is>
          <t>28 günde 0 görüşme; mesaj metni ya da kanal değiştirilir.</t>
        </is>
      </c>
      <c r="J18" s="16" t="inlineStr">
        <is>
          <t>Rapor satılırsa 90 günlük program teklifi ve vaka izni.</t>
        </is>
      </c>
    </row>
    <row r="19">
      <c r="A19" s="7" t="str">
        <f>Secenekler!A19</f>
        <v>zincir-danismanligi-c</v>
      </c>
      <c r="B19" s="7" t="str">
        <f>Secenekler!C19</f>
        <v>Merkezden yönetilen şube QR menüsü (Zabuno zincir planı)</v>
      </c>
      <c r="C19" s="16" t="inlineStr">
        <is>
          <t>Genel müdür ücretsiz pilot sonrası bütün şubeler için aylık ücret öder.</t>
        </is>
      </c>
      <c r="D19" s="16" t="inlineStr">
        <is>
          <t>3 şubede 60 gün QR menü; şube başına tarama ve fiyat güncelleme süresi ölçülür; 60. günde çok sayıda şube teklifi verilir.</t>
        </is>
      </c>
      <c r="E19" s="24" t="n">
        <v>60</v>
      </c>
      <c r="F19" s="24" t="n">
        <v>12</v>
      </c>
      <c r="G19" s="24" t="n">
        <v>500</v>
      </c>
      <c r="H19" s="16" t="inlineStr">
        <is>
          <t>Şube başına en az 500 tarama ve yazılı çok sayıda şube kararı.</t>
        </is>
      </c>
      <c r="I19" s="16" t="inlineStr">
        <is>
          <t>Şube başına 250 taramanın altında ya da genel müdür ücretli plana geçmez.</t>
        </is>
      </c>
      <c r="J19" s="16" t="inlineStr">
        <is>
          <t>çok sayıda şube sözleşmesi; ikinci zincir pilotu.</t>
        </is>
      </c>
    </row>
    <row r="20">
      <c r="A20" s="7" t="str">
        <f>Secenekler!A20</f>
        <v>kar-pusulasi-a</v>
      </c>
      <c r="B20" s="7" t="str">
        <f>Secenekler!C20</f>
        <v>Pro yıllık ve Kurucu Paketi (satıcıya yazılım)</v>
      </c>
      <c r="C20" s="16" t="inlineStr">
        <is>
          <t>Ücretsiz araçlar bolken satıcılar toplu Excel ve oran bildirimi için 499 TL/yıl ya da 999 TL tek sefer ödeyecek</t>
        </is>
      </c>
      <c r="D20" s="16" t="inlineStr">
        <is>
          <t>Düzeltilmiş motor ve tarihli oranlarla 10 tanıdık satıcıya 30 dk ekran paylaşımı; sonunda havale ya da Shopier ile Kurucu Paketi ön ödemesi istenir.</t>
        </is>
      </c>
      <c r="E20" s="24" t="n">
        <v>28</v>
      </c>
      <c r="F20" s="24" t="n">
        <v>30</v>
      </c>
      <c r="G20" s="24" t="n">
        <v>1000</v>
      </c>
      <c r="H20" s="16" t="inlineStr">
        <is>
          <t>10 görüşmeden en az 3 ön ödeme ya da 5 yazılı ödeme niyeti</t>
        </is>
      </c>
      <c r="I20" s="16" t="inlineStr">
        <is>
          <t>10 görüşmede 0 ön ödeme; Pro bırakılır, araç eğitim programı için ücretsiz kalır</t>
        </is>
      </c>
      <c r="J20" s="16" t="inlineStr">
        <is>
          <t>Toplu Excel içe aktarma ve 20 programatik SEO sayfası</t>
        </is>
      </c>
    </row>
    <row r="21">
      <c r="A21" s="7" t="str">
        <f>Secenekler!A21</f>
        <v>kar-pusulasi-b</v>
      </c>
      <c r="B21" s="7" t="str">
        <f>Secenekler!C21</f>
        <v>Danışman ve ajans paneli (aylık abonelik)</v>
      </c>
      <c r="C21" s="16" t="inlineStr">
        <is>
          <t>Danışman, ücretsiz denemeden sonra 990 TL/ay'ı ödeyip müşterisine yansıtacak</t>
        </is>
      </c>
      <c r="D21" s="16" t="inlineStr">
        <is>
          <t>20 danışmana mesaj, 5 demo; panel yazılmadan 2 danışman için elle logolu PDF hazırla ve ilk ayı 990 TL ön ödemeyle teklif et.</t>
        </is>
      </c>
      <c r="E21" s="24" t="n">
        <v>21</v>
      </c>
      <c r="F21" s="24" t="n">
        <v>20</v>
      </c>
      <c r="G21" s="24" t="n">
        <v>0</v>
      </c>
      <c r="H21" s="16" t="inlineStr">
        <is>
          <t>En az 2 danışman ilk ay için ön ödeme ya da yazılı ücretli pilot onayı verir</t>
        </is>
      </c>
      <c r="I21" s="16" t="inlineStr">
        <is>
          <t>20 mesajdan 3'ten az demo ya da 0 ücretli pilot kabulü</t>
        </is>
      </c>
      <c r="J21" s="16" t="inlineStr">
        <is>
          <t>Müşteri profili ve logolu PDF çekirdeği</t>
        </is>
      </c>
    </row>
    <row r="22">
      <c r="A22" s="7" t="str">
        <f>Secenekler!A22</f>
        <v>kar-pusulasi-c</v>
      </c>
      <c r="B22" s="7" t="str">
        <f>Secenekler!C22</f>
        <v>SKU katkı raporu (sabit fiyatlı hizmet)</v>
      </c>
      <c r="C22" s="16" t="inlineStr">
        <is>
          <t>50-500 SKU'lu satıcı, kendi dosyasının açıklamalı katkı raporu için 1.000 TL ödeyecek</t>
        </is>
      </c>
      <c r="D22" s="16" t="inlineStr">
        <is>
          <t>Telegram ve tanıdıklardan 5 izinli dosya; ilk 20 SKU ücretsiz gösterilir, tam 200 SKU raporu 1.000 TL ön ödemeyle teklif edilir.</t>
        </is>
      </c>
      <c r="E22" s="24" t="n">
        <v>30</v>
      </c>
      <c r="F22" s="24" t="n">
        <v>20</v>
      </c>
      <c r="G22" s="24" t="n">
        <v>0</v>
      </c>
      <c r="H22" s="16" t="inlineStr">
        <is>
          <t>5 izinli dosyadan en az 2 ücretli rapor; dosya eşleme başarısı %80 üstü</t>
        </is>
      </c>
      <c r="I22" s="16" t="inlineStr">
        <is>
          <t>5 izinli dosyadan 0 ödeme ya da rapor başına inceleme 30 dakikayı aşıyor</t>
        </is>
      </c>
      <c r="J22" s="16" t="inlineStr">
        <is>
          <t>Dönem karşılaştırması ve aylık abonelik; CSV eşleme aracı</t>
        </is>
      </c>
    </row>
    <row r="23">
      <c r="A23" s="7" t="str">
        <f>Secenekler!A23</f>
        <v>titanlar-a</v>
      </c>
      <c r="B23" s="7" t="str">
        <f>Secenekler!C23</f>
        <v>Titan Programı: 10 haftalık canlı kohort</v>
      </c>
      <c r="C23" s="16" t="inlineStr">
        <is>
          <t>Webinar katılımcıları ve görüşme yaptığı satıcılar, 10 haftalık programa 5.000 ₺ + KDV ön ödeme yapar.</t>
        </is>
      </c>
      <c r="D23" s="16" t="inlineStr">
        <is>
          <t>Fatura düzeni kurulduktan sonra iki webinar (15 ve 22 Ekim), 30 tanışma görüşmesi; ödeme bağlantısı ya da havale ve e-Arşiv ile ön kayıt tahsilatı.</t>
        </is>
      </c>
      <c r="E23" s="24" t="n">
        <v>24</v>
      </c>
      <c r="F23" s="24" t="n">
        <v>90</v>
      </c>
      <c r="G23" s="24" t="n">
        <v>21500</v>
      </c>
      <c r="H23" s="16" t="inlineStr">
        <is>
          <t>25 Ekim'e kadar en az 12 tahsil edilmiş kayıt</t>
        </is>
      </c>
      <c r="I23" s="16" t="inlineStr">
        <is>
          <t>25 Ekim'de 6'dan az tahsilat, kanal değişikliğiyle 8 Kasım'da hâlâ 6'dan az</t>
        </is>
      </c>
      <c r="J23" s="16" t="inlineStr">
        <is>
          <t>Kohort 3 Kasım'da başlar; tamamlama oranı ölçülür, izinli referanslar toplanır, ardından VIP ve kayıtlı kurs</t>
        </is>
      </c>
    </row>
    <row r="24">
      <c r="A24" s="7" t="str">
        <f>Secenekler!A24</f>
        <v>titanlar-b</v>
      </c>
      <c r="B24" s="7" t="str">
        <f>Secenekler!C24</f>
        <v>Kâr teşhisi: Giriş ve Strateji danışmanlığı</v>
      </c>
      <c r="C24" s="16" t="inlineStr">
        <is>
          <t>Cirosu olup kâr edemeyen satıcı, kendi ürününün kâr hesabı sonrası 2.500 ₺ + KDV Giriş görüşmesi için ödeme yapar.</t>
        </is>
      </c>
      <c r="D24" s="16" t="inlineStr">
        <is>
          <t>Satıcı gruplarında ve LinkedIn'de kendi ürünüyle ücretsiz 10 dakikalık hesap; 20 satıcıya ödeme bağlantılı Giriş teklifi; hesap tablosu ve PDF özet standart.</t>
        </is>
      </c>
      <c r="E24" s="24" t="n">
        <v>21</v>
      </c>
      <c r="F24" s="24" t="n">
        <v>25</v>
      </c>
      <c r="G24" s="24" t="n">
        <v>3000</v>
      </c>
      <c r="H24" s="16" t="inlineStr">
        <is>
          <t>21 günde en az 3 ödenmiş Giriş ve en az 1 Strateji teklifi kabulü</t>
        </is>
      </c>
      <c r="I24" s="16" t="inlineStr">
        <is>
          <t>20 satıcıya yapılan tekliften 21 günde 0 ödeme</t>
        </is>
      </c>
      <c r="J24" s="16" t="inlineStr">
        <is>
          <t>Strateji paketi, ardından kohort ön kaydı ve izinli vaka sayfası</t>
        </is>
      </c>
    </row>
    <row r="25">
      <c r="A25" s="7" t="str">
        <f>Secenekler!A25</f>
        <v>titanlar-c</v>
      </c>
      <c r="B25" s="7" t="str">
        <f>Secenekler!C25</f>
        <v>Kurumsal atölye: oda, belediye ve üretici KOBİ</v>
      </c>
      <c r="C25" s="16" t="inlineStr">
        <is>
          <t>Bir oda ya da üretici KOBİ, kanıt görmeden 1 günlük atölye için yazılı satın alma niyeti bildirir.</t>
        </is>
      </c>
      <c r="D25" s="16" t="inlineStr">
        <is>
          <t>3 odaya teklif şablonu ve örnek rapor; LinkedIn'de 5 üretici KOBİ'ye çevik çalışma oturumu daveti; ücretsiz 45 dakikalık oturum; yazılı niyet istenir.</t>
        </is>
      </c>
      <c r="E25" s="24" t="n">
        <v>45</v>
      </c>
      <c r="F25" s="24" t="n">
        <v>30</v>
      </c>
      <c r="G25" s="24" t="n">
        <v>1000</v>
      </c>
      <c r="H25" s="16" t="inlineStr">
        <is>
          <t>45 günde en az 1 yazılı teklif talebi ya da satın alma niyeti</t>
        </is>
      </c>
      <c r="I25" s="16" t="inlineStr">
        <is>
          <t>8 kurum teması sonrası 45 günde 0 teklif talebi</t>
        </is>
      </c>
      <c r="J25" s="16" t="inlineStr">
        <is>
          <t>Ücretli pilot atölye, sonra 2 günlük paket; kanıt olarak kohort mezun sonuçları</t>
        </is>
      </c>
    </row>
    <row r="26">
      <c r="A26" s="7" t="str">
        <f>Secenekler!A26</f>
        <v>kurumsal-site-a</v>
      </c>
      <c r="B26" s="7" t="str">
        <f>Secenekler!C26</f>
        <v>İhracat paketi: sabit kapsamlı 3 dilli üretici sitesi</v>
      </c>
      <c r="C26" s="16" t="inlineStr">
        <is>
          <t>OSB'deki üretici KOBİ'ler ücretsiz denetim raporuna yanıt verir ve 85.000 ₺'lik sabit kapsamlı teklife avans öder</t>
        </is>
      </c>
      <c r="D26" s="16" t="inlineStr">
        <is>
          <t>Mevcut sitesi zayıf 30 ihracatçıya denetim raporu gönder; ilgilenen 10'una 20 dakikalık görüşme ve yazılı teklif sun; imzaya avans fatura et</t>
        </is>
      </c>
      <c r="E26" s="24" t="n">
        <v>30</v>
      </c>
      <c r="F26" s="24" t="n">
        <v>40</v>
      </c>
      <c r="G26" s="24" t="n">
        <v>1500</v>
      </c>
      <c r="H26" s="16" t="inlineStr">
        <is>
          <t>30 rapordan en az 8 görüşme, en az 3 yazılı teklif ve en az 1 kabul edilmiş teklif</t>
        </is>
      </c>
      <c r="I26" s="16" t="inlineStr">
        <is>
          <t>30 raporda 3'ten az görüşme ya da hiç yazılı niyet çıkmaması</t>
        </is>
      </c>
      <c r="J26" s="16" t="inlineStr">
        <is>
          <t>İlk avans alınınca 15 iş günlük teslim; ardından bakım ve ek dil teklifi, danışman yönlendirme payını başlat</t>
        </is>
      </c>
    </row>
    <row r="27">
      <c r="A27" s="7" t="str">
        <f>Secenekler!A27</f>
        <v>kurumsal-site-b</v>
      </c>
      <c r="B27" s="7" t="str">
        <f>Secenekler!C27</f>
        <v>Vitrin paketi: 2 dilli giriş sitesi (45.000 ₺)</v>
      </c>
      <c r="C27" s="16" t="inlineStr">
        <is>
          <t>Küçük üretici tek karar vericiyle 45.000 ₺'yi ilk görüşmeden sonraki iki hafta içinde avansla onaylar</t>
        </is>
      </c>
      <c r="D27" s="16" t="inlineStr">
        <is>
          <t>Bir birlik akademisi ve bir OSB derneğinde 20 dakikalık canlı denetim; katılımcıya denetim raporu ve sabit fiyatlı Vitrin teklifi; avans için havale bilgisi</t>
        </is>
      </c>
      <c r="E27" s="24" t="n">
        <v>21</v>
      </c>
      <c r="F27" s="24" t="n">
        <v>20</v>
      </c>
      <c r="G27" s="24" t="n">
        <v>800</v>
      </c>
      <c r="H27" s="16" t="inlineStr">
        <is>
          <t>40 katılımcıdan en az 8 denetim talebi ve en az 1 avans ödemesi</t>
        </is>
      </c>
      <c r="I27" s="16" t="inlineStr">
        <is>
          <t>Seminerden 3'ten az denetim talebi ya da hiç fiyat görüşmesi çıkmaması</t>
        </is>
      </c>
      <c r="J27" s="16" t="inlineStr">
        <is>
          <t>İlk Vitrin teslimini referans yap; İhracat paketine geçiş ve ek dil teklifini aynı müşteriye sun</t>
        </is>
      </c>
    </row>
    <row r="28">
      <c r="A28" s="7" t="str">
        <f>Secenekler!A28</f>
        <v>kurumsal-site-c</v>
      </c>
      <c r="B28" s="7" t="str">
        <f>Secenekler!C28</f>
        <v>Markasız Astro sanayi teması (kod satışı)</v>
      </c>
      <c r="C28" s="16" t="inlineStr">
        <is>
          <t>Ajanslar ve serbest geliştiriciler markasız Türkçe/RTL destekli Astro kalıbına 49-149 $ öder</t>
        </is>
      </c>
      <c r="D28" s="16" t="inlineStr">
        <is>
          <t>Demo siteli README ve ödeme sayfasını yayına al; Astro topluluğunda ve bir dizinde duyur; 30 gün satış, indirme ve soruları kaydet</t>
        </is>
      </c>
      <c r="E28" s="24" t="n">
        <v>30</v>
      </c>
      <c r="F28" s="24" t="n">
        <v>30</v>
      </c>
      <c r="G28" s="24" t="n">
        <v>500</v>
      </c>
      <c r="H28" s="16" t="inlineStr">
        <is>
          <t>30 günde en az 3 ödeme ve en az 1 beyaz etiket üretim sorusu</t>
        </is>
      </c>
      <c r="I28" s="16" t="inlineStr">
        <is>
          <t>30 günde hiç ödeme yok ve 500'den az depo ziyareti</t>
        </is>
      </c>
      <c r="J28" s="16" t="inlineStr">
        <is>
          <t>Satış gelirse Pro ve Agency içeriğini genişlet; ajanslara sabit fiyatlı beyaz etiket üretim teklif et</t>
        </is>
      </c>
    </row>
    <row r="29">
      <c r="A29" s="7" t="str">
        <f>Secenekler!A29</f>
        <v>uretici-kobi-paketi-a</v>
      </c>
      <c r="B29" s="7" t="str">
        <f>Secenekler!C29</f>
        <v>Başlangıç paketi: fizibilite, vitrin site, açılış planı</v>
      </c>
      <c r="C29" s="16" t="inlineStr">
        <is>
          <t>Mevcut iki üretici ya da 20 adlı üreticiden en az biri, kendi maliyetiyle yapılan canlı hesaptan sonra 90.000 ₺ avans öder.</t>
        </is>
      </c>
      <c r="D29" s="16" t="inlineStr">
        <is>
          <t>5 görüşme: 30 dk canlı simülatör seansı, ardından 1 sayfa teklif ve %50 avans talebi; 35.000 ₺'lik giriş ayrıca sunulur; itiraz, süre ve karar verici kaydedilir.</t>
        </is>
      </c>
      <c r="E29" s="24" t="n">
        <v>30</v>
      </c>
      <c r="F29" s="24" t="n">
        <v>25</v>
      </c>
      <c r="G29" s="24" t="n">
        <v>1000</v>
      </c>
      <c r="H29" s="16" t="inlineStr">
        <is>
          <t>30 günde en az 1 avans ödemesi ya da imzalı teklif; 5 seanstan en az 2 teklif talebi.</t>
        </is>
      </c>
      <c r="I29" s="16" t="inlineStr">
        <is>
          <t>30 günde 5 seanstan hiç teklif talebi gelmezse paketi 35.000 ₺'lik fizibiliteye indir.</t>
        </is>
      </c>
      <c r="J29" s="16" t="inlineStr">
        <is>
          <t>İlk avans gelirse paketi teslim et, 60 gün sonra ölçülmüş vaka ve aylık takip teklifi hazırla.</t>
        </is>
      </c>
    </row>
    <row r="30">
      <c r="A30" s="7" t="str">
        <f>Secenekler!A30</f>
        <v>uretici-kobi-paketi-b</v>
      </c>
      <c r="B30" s="7" t="str">
        <f>Secenekler!C30</f>
        <v>Fizibilite paketi: rakip analizi, kârlılık modeli, simülatör</v>
      </c>
      <c r="C30" s="16" t="inlineStr">
        <is>
          <t>Pazar yerinde zarar eden üretici, kendi maliyetleriyle gösterilen başabaş hesabı için 35.000 ₺ öder.</t>
        </is>
      </c>
      <c r="D30" s="16" t="inlineStr">
        <is>
          <t>10 yönetici ya da patrona 30 dk ücretsiz seans; seans sonunda 1 sayfa teklif ve avans talebi; başabaş sepetin ilk seansta sürpriz olup olmadığı not edilir.</t>
        </is>
      </c>
      <c r="E30" s="24" t="n">
        <v>21</v>
      </c>
      <c r="F30" s="24" t="n">
        <v>20</v>
      </c>
      <c r="G30" s="24" t="n">
        <v>500</v>
      </c>
      <c r="H30" s="16" t="inlineStr">
        <is>
          <t>21 günde 1 avans ödemesi ya da 2 yazılı teklif kabulü; seansların yarısı teklif ister.</t>
        </is>
      </c>
      <c r="I30" s="16" t="inlineStr">
        <is>
          <t>10 seansta teklif talebi gelmezse ücretli rapor yerine ücretsiz hesaplayıcı ve müşavir kanalına geç.</t>
        </is>
      </c>
      <c r="J30" s="16" t="inlineStr">
        <is>
          <t>İlk avans gelince raporu 5-7 günde teslim et; Başlangıç paketine yükseltme teklifi sun.</t>
        </is>
      </c>
    </row>
    <row r="31">
      <c r="A31" s="7" t="str">
        <f>Secenekler!A31</f>
        <v>uretici-kobi-paketi-c</v>
      </c>
      <c r="B31" s="7" t="str">
        <f>Secenekler!C31</f>
        <v>Katalog ve teklif formu sitesi (kumaş üreticisi)</v>
      </c>
      <c r="C31" s="16" t="inlineStr">
        <is>
          <t>Üretici, ürün ve teklif bilgisini tek sayfada toplayan katalog sitesi için 45.000 ₺ öder.</t>
        </is>
      </c>
      <c r="D31" s="16" t="inlineStr">
        <is>
          <t>20 üreticiye eksik teknik föy bulgusu ve örnek sayfa gönder; yanıt verenle 30 dk görüş; izinli bir ürünle ücretsiz mini sayfa hazırla, sonra teklif ver.</t>
        </is>
      </c>
      <c r="E31" s="24" t="n">
        <v>30</v>
      </c>
      <c r="F31" s="24" t="n">
        <v>30</v>
      </c>
      <c r="G31" s="24" t="n">
        <v>0</v>
      </c>
      <c r="H31" s="16" t="inlineStr">
        <is>
          <t>30 günde 3 görüşme ve 1 yazılı teklif talebi.</t>
        </is>
      </c>
      <c r="I31" s="16" t="inlineStr">
        <is>
          <t>20 e-postadan hiç yanıt gelmezse bu seçeneği bırak, A ya da B ile devam et.</t>
        </is>
      </c>
      <c r="J31" s="16" t="inlineStr">
        <is>
          <t>İlk avanstan sonra tek koleksiyon sitesini kur; aylık katalog güncelleme fiyatını ölç.</t>
        </is>
      </c>
    </row>
    <row r="32">
      <c r="A32" s="7" t="str">
        <f>Secenekler!A32</f>
        <v>wp-nis-eklentiler-a</v>
      </c>
      <c r="B32" s="7" t="str">
        <f>Secenekler!C32</f>
        <v>KVKK Lite Pro: ajans lisansı</v>
      </c>
      <c r="C32" s="16" t="inlineStr">
        <is>
          <t>En az 3 ajans, eklenti yayına çıkmadan ₺4.990 ajans lisansı için ön ödeme yapar</t>
        </is>
      </c>
      <c r="D32" s="16" t="inlineStr">
        <is>
          <t>15 ajansla 15 dakikalık demo ve beta anahtarı; ön ödeme bağlantısı (havale ya da Freemius). Ücretsiz çekirdek wordpress.org'a gönderilir.</t>
        </is>
      </c>
      <c r="E32" s="24" t="n">
        <v>21</v>
      </c>
      <c r="F32" s="24" t="n">
        <v>20</v>
      </c>
      <c r="G32" s="24" t="n">
        <v>0</v>
      </c>
      <c r="H32" s="16" t="inlineStr">
        <is>
          <t>3 ajans ön ödeme yapar ya da 5 ajans yazılı alım niyeti bildirir</t>
        </is>
      </c>
      <c r="I32" s="16" t="inlineStr">
        <is>
          <t>15 görüşmede ön ödeme 0 ve yazılı niyet 3'ün altında</t>
        </is>
      </c>
      <c r="J32" s="16" t="inlineStr">
        <is>
          <t>KVKK Lite 1.0 ve Pro yayını; 90 günde 10 ödeyen kapısı, sonra Taksit modülü</t>
        </is>
      </c>
    </row>
    <row r="33">
      <c r="A33" s="7" t="str">
        <f>Secenekler!A33</f>
        <v>wp-nis-eklentiler-b</v>
      </c>
      <c r="B33" s="7" t="str">
        <f>Secenekler!C33</f>
        <v>Taksit Tablosu ve Kapıda Ödeme Pro: tek mağaza</v>
      </c>
      <c r="C33" s="16" t="inlineStr">
        <is>
          <t>Mağaza sahipleri kapıda ödeme kuralı için kod yazılmadan önce ücret öder</t>
        </is>
      </c>
      <c r="D33" s="16" t="inlineStr">
        <is>
          <t>Açılış sayfası ve 10 mağazaya kapıda ödeme kuralı için ₺990 ücretli ön kayıt; Trendyol satıcı grupları, R10.net ve WhatsApp üzerinden.</t>
        </is>
      </c>
      <c r="E33" s="24" t="n">
        <v>14</v>
      </c>
      <c r="F33" s="24" t="n">
        <v>12</v>
      </c>
      <c r="G33" s="24" t="n">
        <v>0</v>
      </c>
      <c r="H33" s="16" t="inlineStr">
        <is>
          <t>5 mağaza ₺990 ön ödeme yapar</t>
        </is>
      </c>
      <c r="I33" s="16" t="inlineStr">
        <is>
          <t>14 günde ön ödeme 0 ve bekleme listesi 20'nin altında</t>
        </is>
      </c>
      <c r="J33" s="16" t="inlineStr">
        <is>
          <t>Ücretsiz taksit çekirdeği; ön ödeyenlerle kapıda ödeme kuralı Pro'su, sonra PSP modülleri</t>
        </is>
      </c>
    </row>
    <row r="34">
      <c r="A34" s="7" t="str">
        <f>Secenekler!A34</f>
        <v>wp-nis-eklentiler-c</v>
      </c>
      <c r="B34" s="7" t="str">
        <f>Secenekler!C34</f>
        <v>Türkiye uyum kurulumu: sabit fiyatlı hizmet</v>
      </c>
      <c r="C34" s="16" t="inlineStr">
        <is>
          <t>En az 3 site sahibi ya da ajans, sabit ₺2.500 fiyatla kurulum paketini satın alır</t>
        </is>
      </c>
      <c r="D34" s="16" t="inlineStr">
        <is>
          <t>Tek sayfa kapsam ve fiyat belgesi; mevcut ilişkilerden ve R10.net Ücretli WordPress İşleri'nden 10 kişiye teklif; havale ile ödeme.</t>
        </is>
      </c>
      <c r="E34" s="24" t="n">
        <v>14</v>
      </c>
      <c r="F34" s="24" t="n">
        <v>12</v>
      </c>
      <c r="G34" s="24" t="n">
        <v>0</v>
      </c>
      <c r="H34" s="16" t="inlineStr">
        <is>
          <t>3 ödeme ya da 2 ödeme ve 2 ajans paket talebi</t>
        </is>
      </c>
      <c r="I34" s="16" t="inlineStr">
        <is>
          <t>10 teklifte ödeme 0</t>
        </is>
      </c>
      <c r="J34" s="16" t="inlineStr">
        <is>
          <t>Kurulumlarda tekrar eden işi KVKK Lite çekirdeğine dönüştür; tekrar görülürse ajans lisansı</t>
        </is>
      </c>
    </row>
    <row r="35">
      <c r="A35" s="7" t="str">
        <f>Secenekler!A35</f>
        <v>qral-a</v>
      </c>
      <c r="B35" s="7" t="str">
        <f>Secenekler!C35</f>
        <v>Pro lisansı: bilgi çalışanı ve yapay zekâ kullanıcısı</v>
      </c>
      <c r="C35" s="16" t="inlineStr">
        <is>
          <t>Ücretsiz rakipler varken bireysel kullanıcı kaynak bloğu ve geçmiş için tek seferlik ödeme yapar.</t>
        </is>
      </c>
      <c r="D35" s="16" t="inlineStr">
        <is>
          <t>Ücretsiz sürüm yayınlanır; Pro duvarının ön satışı için ödeme bağlantılı bekleme listesi ve lansman fiyatı sunulur; 14 günde kurulum, tıklama ve ödeme sayılır.</t>
        </is>
      </c>
      <c r="E35" s="24" t="n">
        <v>30</v>
      </c>
      <c r="F35" s="24" t="n">
        <v>20</v>
      </c>
      <c r="G35" s="24" t="n">
        <v>300</v>
      </c>
      <c r="H35" s="16" t="inlineStr">
        <is>
          <t>30 günde en az 3 ödeme ya da 100 kurulum ve 10 Pro ön ödeme tıklaması.</t>
        </is>
      </c>
      <c r="I35" s="16" t="inlineStr">
        <is>
          <t>120 günde 10 ödeyen yoksa Pro geliştirmesi durur, ürün ücretsiz bakıma alınır.</t>
        </is>
      </c>
      <c r="J35" s="16" t="inlineStr">
        <is>
          <t>Ödeme gelirse Sınıf Paketi ve ekip şablon seti için ayrı deney.</t>
        </is>
      </c>
    </row>
    <row r="36">
      <c r="A36" s="7" t="str">
        <f>Secenekler!A36</f>
        <v>qral-b</v>
      </c>
      <c r="B36" s="7" t="str">
        <f>Secenekler!C36</f>
        <v>Sınıf Paketi: öğretmen ve okul için QR sayfası</v>
      </c>
      <c r="C36" s="16" t="inlineStr">
        <is>
          <t>Öğretmen ya da zümre, ücretsiz QR araçları varken toplu A4 QR sayfası için yıllık öder.</t>
        </is>
      </c>
      <c r="D36" s="16" t="inlineStr">
        <is>
          <t>Kod yazmadan örnek bir A4 QR sayfası elle hazırlanıp 20 öğretmene sunulur; ödeme bağlantısıyla yıllık paket ön satışı yapılır.</t>
        </is>
      </c>
      <c r="E36" s="24" t="n">
        <v>21</v>
      </c>
      <c r="F36" s="24" t="n">
        <v>12</v>
      </c>
      <c r="G36" s="24" t="n">
        <v>0</v>
      </c>
      <c r="H36" s="16" t="inlineStr">
        <is>
          <t>20 öğretmenden en az 2 ön ödeme ya da yazılı ödeme niyeti.</t>
        </is>
      </c>
      <c r="I36" s="16" t="inlineStr">
        <is>
          <t>20 temasta ödeme niyeti yoksa paket bırakılır, QR sayfası ücretsiz özellik olur.</t>
        </is>
      </c>
      <c r="J36" s="16" t="inlineStr">
        <is>
          <t>Okul ya da zümre için 10 koltuk teklifi.</t>
        </is>
      </c>
    </row>
    <row r="37">
      <c r="A37" s="7" t="str">
        <f>Secenekler!A37</f>
        <v>qral-c</v>
      </c>
      <c r="B37" s="7" t="str">
        <f>Secenekler!C37</f>
        <v>Araştırma ekibi için kaynak dışa aktarma şablon paketi</v>
      </c>
      <c r="C37" s="16" t="inlineStr">
        <is>
          <t>Bir araştırma ekibi, ücretsiz yer imi ve yapay zekâ özeti varken ekip formatı kurulumu için öder.</t>
        </is>
      </c>
      <c r="D37" s="16" t="inlineStr">
        <is>
          <t>5 araştırmacıyla eski ve yeni yöntemin süresi ölçülür; ardından tek takıma sabit fiyatlı şablon kurulumu teklif edilir.</t>
        </is>
      </c>
      <c r="E37" s="24" t="n">
        <v>30</v>
      </c>
      <c r="F37" s="24" t="n">
        <v>16</v>
      </c>
      <c r="G37" s="24" t="n">
        <v>0</v>
      </c>
      <c r="H37" s="16" t="inlineStr">
        <is>
          <t>5 araştırmacıdan en az 3'ünde süre kısalması ve 1 takımın ödeme onayı.</t>
        </is>
      </c>
      <c r="I37" s="16" t="inlineStr">
        <is>
          <t>Ücretsiz yer imi ve yapay zekâ aynı sonucu aynı sürede veriyorsa ücretli tez bırakılır.</t>
        </is>
      </c>
      <c r="J37" s="16" t="inlineStr">
        <is>
          <t>Aynı ekibin ortak kaynak arşivi isteği olursa paylaşımlı kütüphane.</t>
        </is>
      </c>
    </row>
    <row r="38">
      <c r="A38" s="7" t="str">
        <f>Secenekler!A38</f>
        <v>frontend-atlasi-a</v>
      </c>
      <c r="B38" s="7" t="str">
        <f>Secenekler!C38</f>
        <v>Eğitmen lisansı ve AI ile Eğitim Sitesi Kiti</v>
      </c>
      <c r="C38" s="16" t="inlineStr">
        <is>
          <t>Eğitmenler kendi müfredat sitesi için kiti ve lisansı bu fiyatla ödemeye razı</t>
        </is>
      </c>
      <c r="D38" s="16" t="inlineStr">
        <is>
          <t>30 eğitmene LinkedIn ve yanıt sonrası e-posta; 20 dakikalık ekran demosu; kurucu fiyatlı lisansı yazılı teklifle sun, ön ödeme iste</t>
        </is>
      </c>
      <c r="E38" s="24" t="n">
        <v>28</v>
      </c>
      <c r="F38" s="24" t="n">
        <v>30</v>
      </c>
      <c r="G38" s="24" t="n">
        <v>1000</v>
      </c>
      <c r="H38" s="16" t="inlineStr">
        <is>
          <t>28 günde en az 3 eğitmen görüşmesi ve 1 ödenmiş lisans ya da yazılı onay</t>
        </is>
      </c>
      <c r="I38" s="16" t="inlineStr">
        <is>
          <t>30 temasta 0 görüşme ya da 3 görüşmede 0 fiyat kabulü</t>
        </is>
      </c>
      <c r="J38" s="16" t="inlineStr">
        <is>
          <t>Kit v1 paketleme ve 20 derslik ikinci örnek site (uyarlanabilirlik kanıtı)</t>
        </is>
      </c>
    </row>
    <row r="39">
      <c r="A39" s="7" t="str">
        <f>Secenekler!A39</f>
        <v>frontend-atlasi-b</v>
      </c>
      <c r="B39" s="7" t="str">
        <f>Secenekler!C39</f>
        <v>Laboratuvar alıştırma paketi (öğrenenlere, arama ile)</v>
      </c>
      <c r="C39" s="16" t="inlineStr">
        <is>
          <t>Öğrenenler ücretsiz dersler varken 349 ₺'lik çözümlü laboratuvar paketi için ödeme yapar</t>
        </is>
      </c>
      <c r="D39" s="16" t="inlineStr">
        <is>
          <t>Siteyi yayına al; 6 ders sayfasının altına paket kutusu koy; Discord'da 2 hafta cevap verip laboratuvarı paylaş; ön satış sayfası aç</t>
        </is>
      </c>
      <c r="E39" s="24" t="n">
        <v>42</v>
      </c>
      <c r="F39" s="24" t="n">
        <v>40</v>
      </c>
      <c r="G39" s="24" t="n">
        <v>900</v>
      </c>
      <c r="H39" s="16" t="inlineStr">
        <is>
          <t>42 günde 500+ ders sayfası ziyareti ve en az 3 paket satışı</t>
        </is>
      </c>
      <c r="I39" s="16" t="inlineStr">
        <is>
          <t>1.000 ziyarette 0 satış</t>
        </is>
      </c>
      <c r="J39" s="16" t="inlineStr">
        <is>
          <t>24 laboratuvarın tamamı ve 4 laboratuvar videosu</t>
        </is>
      </c>
    </row>
    <row r="40">
      <c r="A40" s="7" t="str">
        <f>Secenekler!A40</f>
        <v>frontend-atlasi-c</v>
      </c>
      <c r="B40" s="7" t="str">
        <f>Secenekler!C40</f>
        <v>Eğitmene sabit kapsamlı ders ve laboratuvar üretimi</v>
      </c>
      <c r="C40" s="16" t="inlineStr">
        <is>
          <t>Bir eğitmen tek ders ve laboratuvar üretimi için ön ödeme yapar</t>
        </is>
      </c>
      <c r="D40" s="16" t="inlineStr">
        <is>
          <t>Anonim örnek çıktıyı 10 eğitmene göster; ilgi gösterene tek sayfalık kapsam ve kabul ölçütü ver; ön ödemeli teklif iste</t>
        </is>
      </c>
      <c r="E40" s="24" t="n">
        <v>21</v>
      </c>
      <c r="F40" s="24" t="n">
        <v>20</v>
      </c>
      <c r="G40" s="24" t="n">
        <v>0</v>
      </c>
      <c r="H40" s="16" t="inlineStr">
        <is>
          <t>21 günde 1 yazılı teklif kabulü ya da ön ödeme</t>
        </is>
      </c>
      <c r="I40" s="16" t="inlineStr">
        <is>
          <t>10 gösterimde 0 teklif talebi</t>
        </is>
      </c>
      <c r="J40" s="16" t="inlineStr">
        <is>
          <t>Tekrar talebi görülürse 5 derslik modül paketi; yoksa kite dön</t>
        </is>
      </c>
    </row>
    <row r="41">
      <c r="A41" s="7" t="str">
        <f>Secenekler!A41</f>
        <v>karar-kitabi-a</v>
      </c>
      <c r="B41" s="7" t="str">
        <f>Secenekler!C41</f>
        <v>Yarım günlük kurumsal karar atölyesi</v>
      </c>
      <c r="C41" s="16" t="inlineStr">
        <is>
          <t>Mevcut ilişkilerdeki üretici KOBİ'ler iki gerçek kararı için 9.900 TL pilot atölyeye avans yatırır</t>
        </is>
      </c>
      <c r="D41" s="16" t="inlineStr">
        <is>
          <t>Hak teyidi kapısı sonrası 6 şirkete tekil teklif; 45 dakikalık ücretsiz ön oturumda bir kâğıt canlı doldurulur; yazılı teklif ve %50 avans istenir.</t>
        </is>
      </c>
      <c r="E41" s="24" t="n">
        <v>45</v>
      </c>
      <c r="F41" s="24" t="n">
        <v>25</v>
      </c>
      <c r="G41" s="24" t="n">
        <v>0</v>
      </c>
      <c r="H41" s="16" t="inlineStr">
        <is>
          <t>6 teklifte en az 1 avans ödemesi ya da imzalı pilot; 2 pilot kesinleşirse devam</t>
        </is>
      </c>
      <c r="I41" s="16" t="inlineStr">
        <is>
          <t>6 teklif ve 3 ön oturum sonunda ödeme yok: atölyeyi eğitmen lisansına daralt</t>
        </is>
      </c>
      <c r="J41" s="16" t="inlineStr">
        <is>
          <t>Pilot sonrası anonim karar kaydı ile 20 şirkete tam fiyat teklifi</t>
        </is>
      </c>
    </row>
    <row r="42">
      <c r="A42" s="7" t="str">
        <f>Secenekler!A42</f>
        <v>karar-kitabi-b</v>
      </c>
      <c r="B42" s="7" t="str">
        <f>Secenekler!C42</f>
        <v>Tema çalışma kâğıdı paketleri ve tam set</v>
      </c>
      <c r="C42" s="16" t="inlineStr">
        <is>
          <t>Yöntem adı aramasıyla gelen KOBİ yöneticisi 199 TL'lik kâğıt paketi için ödeme yapar</t>
        </is>
      </c>
      <c r="D42" s="16" t="inlineStr">
        <is>
          <t>Temizlenmiş 3 yöntem sayfası ve 3 ücretsiz kâğıt yayımla; Search Console'da gösterim ve tıklamayı izle; kâğıt paketini Shopier'de aç.</t>
        </is>
      </c>
      <c r="E42" s="24" t="n">
        <v>60</v>
      </c>
      <c r="F42" s="24" t="n">
        <v>60</v>
      </c>
      <c r="G42" s="24" t="n">
        <v>15000</v>
      </c>
      <c r="H42" s="16" t="inlineStr">
        <is>
          <t>60 günde 300 gösterim/gün, 10 paket satışı ya da 50 e-posta kaydı</t>
        </is>
      </c>
      <c r="I42" s="16" t="inlineStr">
        <is>
          <t>90 günde 10 satış yok: bireysel ürün ücretsiz içerik ve atölyeye daralır</t>
        </is>
      </c>
      <c r="J42" s="16" t="inlineStr">
        <is>
          <t>Satış varsa 12 tema paketini ve tam seti ekle</t>
        </is>
      </c>
    </row>
    <row r="43">
      <c r="A43" s="7" t="str">
        <f>Secenekler!A43</f>
        <v>karar-kitabi-c</v>
      </c>
      <c r="B43" s="7" t="str">
        <f>Secenekler!C43</f>
        <v>Facilitatör için özgün karar memosu kiti</v>
      </c>
      <c r="C43" s="16" t="inlineStr">
        <is>
          <t>On facilitatör kendi Notion ve ücretsiz AI düzenine karşı gerçek bir fark ve ödeme nedeni görür</t>
        </is>
      </c>
      <c r="D43" s="16" t="inlineStr">
        <is>
          <t>Aynı ham notlardan hem ücretsiz AI ve Notion ile hem kit worksheet'leriyle memo üret; bir hafta sonra kaynak, varsayım ve gözden geçirme tarihi izini karşılaştır.</t>
        </is>
      </c>
      <c r="E43" s="24" t="n">
        <v>60</v>
      </c>
      <c r="F43" s="24" t="n">
        <v>25</v>
      </c>
      <c r="G43" s="24" t="n">
        <v>0</v>
      </c>
      <c r="H43" s="16" t="inlineStr">
        <is>
          <t>5 deneyden en az 2 facilitatör ücretli kit ya da özel memo için ödeme yapar</t>
        </is>
      </c>
      <c r="I43" s="16" t="inlineStr">
        <is>
          <t>10 nitelikli facilitatör fark ya da ödeme bulmazsa kit iç araç olarak kalır</t>
        </is>
      </c>
      <c r="J43" s="16" t="inlineStr">
        <is>
          <t>İki sponsor eski memoyu yeniden açarsa sürüm farkı ve gözden geçirme günlüğü paketi</t>
        </is>
      </c>
    </row>
    <row r="44">
      <c r="A44" s="7" t="str">
        <f>Secenekler!A44</f>
        <v>kurucu-sunum-hizmeti-a</v>
      </c>
      <c r="B44" s="7" t="str">
        <f>Secenekler!C44</f>
        <v>Hibe ve yatırım sunum paketi: site, canlı model, doğrulama</v>
      </c>
      <c r="C44" s="16" t="inlineStr">
        <is>
          <t>Kurucu, jüri ve yatırımcı dosyası için 22.500-45.000 ₺ paket bedelini öz kaynaktan ödeyecek.</t>
        </is>
      </c>
      <c r="D44" s="16" t="inlineStr">
        <is>
          <t>Demo site yayımla; 3 ücretsiz atölye ve 10 teklif sun; 3 pilot sözleşmesini %50 indirim ve referans izni karşılığı imzalat; %30 ön ödemeyi havaleyle tahsil et.</t>
        </is>
      </c>
      <c r="E44" s="24" t="n">
        <v>30</v>
      </c>
      <c r="F44" s="24" t="n">
        <v>40</v>
      </c>
      <c r="G44" s="24" t="n">
        <v>1000</v>
      </c>
      <c r="H44" s="16" t="inlineStr">
        <is>
          <t>30 günde en az 1 ön ödeme ve 3 imzalı pilot sözleşmesi</t>
        </is>
      </c>
      <c r="I44" s="16" t="inlineStr">
        <is>
          <t>10 teklifte 60 günde sıfır imza gelirse fiyatı düşür ya da B seçeneğine dön</t>
        </is>
      </c>
      <c r="J44" s="16" t="inlineStr">
        <is>
          <t>Pilot teslim, kanıt defteri, aylık güncelleme teklifi ve kuluçka lisansı görüşmesi</t>
        </is>
      </c>
    </row>
    <row r="45">
      <c r="A45" s="7" t="str">
        <f>Secenekler!A45</f>
        <v>kurucu-sunum-hizmeti-b</v>
      </c>
      <c r="B45" s="7" t="str">
        <f>Secenekler!C45</f>
        <v>Rakam tutarlılığı denetimi: tek dosya, sabit fiyat</v>
      </c>
      <c r="C45" s="16" t="inlineStr">
        <is>
          <t>Kurucu, kendi dosyasındaki çelişkiyi görünce 9.000 ₺ ödeyerek rapor ve düzeltilmiş rakam listesi isteyecek.</t>
        </is>
      </c>
      <c r="D45" s="16" t="inlineStr">
        <is>
          <t>4 ücretsiz atölyede katılımcının '10 kritik rakam' sayfasını doldurt, çıkan tutarsızlıkları göster, ardından 5 iş günlük rapor teklifini havale bilgisiyle sun.</t>
        </is>
      </c>
      <c r="E45" s="24" t="n">
        <v>21</v>
      </c>
      <c r="F45" s="24" t="n">
        <v>20</v>
      </c>
      <c r="G45" s="24" t="n">
        <v>500</v>
      </c>
      <c r="H45" s="16" t="inlineStr">
        <is>
          <t>21 günde en az 2 ödenmiş rapor</t>
        </is>
      </c>
      <c r="I45" s="16" t="inlineStr">
        <is>
          <t>4 atölyede sıfır teklif kabulü gelirse B'yi bırak, fiyat ve mesajı yeniden kur</t>
        </is>
      </c>
      <c r="J45" s="16" t="inlineStr">
        <is>
          <t>Rapor müşterisine Standart paket (A) ve aylık güncelleme teklif et</t>
        </is>
      </c>
    </row>
    <row r="46">
      <c r="A46" s="7" t="str">
        <f>Secenekler!A46</f>
        <v>kurucu-sunum-hizmeti-c</v>
      </c>
      <c r="B46" s="7" t="str">
        <f>Secenekler!C46</f>
        <v>Kuluçka ve TTO yıllık lisansı: şablon, doğrulayıcı, eğitim</v>
      </c>
      <c r="C46" s="16" t="inlineStr">
        <is>
          <t>Program yöneticisi 10 girişim için 30.000 ₺ pilot lisansı bütçeleyip ön ödeme yapacak.</t>
        </is>
      </c>
      <c r="D46" s="16" t="inlineStr">
        <is>
          <t>10 yöneticiye e-posta ve 15 dakikalık demo; 3 ücretsiz atölye; pilot lisans teklifini yazılı sun; karar süresini ve onay zincirini kaydet.</t>
        </is>
      </c>
      <c r="E46" s="24" t="n">
        <v>60</v>
      </c>
      <c r="F46" s="24" t="n">
        <v>35</v>
      </c>
      <c r="G46" s="24" t="n">
        <v>500</v>
      </c>
      <c r="H46" s="16" t="inlineStr">
        <is>
          <t>60 günde 1 yazılı niyet ya da ön ödeme</t>
        </is>
      </c>
      <c r="I46" s="16" t="inlineStr">
        <is>
          <t>10 görüşme ve 3 atölyede yazılı niyet yoksa lisansı bırak, A'ya dön</t>
        </is>
      </c>
      <c r="J46" s="16" t="inlineStr">
        <is>
          <t>Pilot lisansı imzalanırsa yönetici paneli ve jüri modu; girişimlerden A paketi satışı</t>
        </is>
      </c>
    </row>
    <row r="47">
      <c r="A47" s="7" t="str">
        <f>Secenekler!A47</f>
        <v>vize-operasyon-a</v>
      </c>
      <c r="B47" s="7" t="str">
        <f>Secenekler!C47</f>
        <v>Acente paneli: 90 günlük pilot, sonra abonelik</v>
      </c>
      <c r="C47" s="16" t="inlineStr">
        <is>
          <t>Acenteler dosya paneline ücret öder ve personeli haftada 5 gün kullanır</t>
        </is>
      </c>
      <c r="D47" s="16" t="inlineStr">
        <is>
          <t>İnce dilimi 3 acentede 60 gün ücretsiz çalıştır; kullanım günü, gönderilen hatırlatma ve kaçan tarih ölç; 35. günde yazılı ücretli geçiş ön teklifi ver</t>
        </is>
      </c>
      <c r="E47" s="24" t="n">
        <v>90</v>
      </c>
      <c r="F47" s="24" t="n">
        <v>240</v>
      </c>
      <c r="G47" s="24" t="n">
        <v>45000</v>
      </c>
      <c r="H47" s="16" t="inlineStr">
        <is>
          <t>3 pilottan en az 2'si ücretli ya da yazılı taahhütlü; haftalık aktif 5 gün; hatırlatma teslimi yüzde 98</t>
        </is>
      </c>
      <c r="I47" s="16" t="inlineStr">
        <is>
          <t>60. günde ücretli geçişi kabul eden yok ya da kullanım haftada 3 günün altında</t>
        </is>
      </c>
      <c r="J47" s="16" t="inlineStr">
        <is>
          <t>B2C evrak kontrolü ve SMS ile Standart paket; dışarıdan müşteri onboarding</t>
        </is>
      </c>
    </row>
    <row r="48">
      <c r="A48" s="7" t="str">
        <f>Secenekler!A48</f>
        <v>vize-operasyon-b</v>
      </c>
      <c r="B48" s="7" t="str">
        <f>Secenekler!C48</f>
        <v>Acente Sheet doğrulama ve eksik belge kuyruğu (ücretli pilot)</v>
      </c>
      <c r="C48" s="16" t="inlineStr">
        <is>
          <t>Acente, eksik belge kuyruğu için kurulum ücreti ve aylık ücret öder; kural doğruluğu ve veri güveni yeterli bulunur</t>
        </is>
      </c>
      <c r="D48" s="16" t="inlineStr">
        <is>
          <t>20 izinli dosyayı salt okunur içe aktar, kural matrisini kaynaklarla çıkar; 3 acentede iki dönem kullandır; kabul edilen eksik belgeyi say</t>
        </is>
      </c>
      <c r="E48" s="24" t="n">
        <v>90</v>
      </c>
      <c r="F48" s="24" t="n">
        <v>160</v>
      </c>
      <c r="G48" s="24" t="n">
        <v>25000</v>
      </c>
      <c r="H48" s="16" t="inlineStr">
        <is>
          <t>Kabul edilen eksik kural oranı yüzde 90; aylık destek en çok 1 saat; en az 1 acente kurulum ücretini öder</t>
        </is>
      </c>
      <c r="I48" s="16" t="inlineStr">
        <is>
          <t>60. günde hiçbir acente ücret taahhüdü vermez ya da kesin yanlış sonuç kural yayımını sürekli durdurur</t>
        </is>
      </c>
      <c r="J48" s="16" t="inlineStr">
        <is>
          <t>Başvurucu bağlantısı, çok operatörlü roller ve yazma ucu; Seçenek A paneline birleşme</t>
        </is>
      </c>
    </row>
    <row r="49">
      <c r="A49" s="7" t="str">
        <f>Secenekler!A49</f>
        <v>vize-operasyon-c</v>
      </c>
      <c r="B49" s="7" t="str">
        <f>Secenekler!C49</f>
        <v>Başvurucu evrak kontrolü: 299/599 ₺ rapor, SEO ile</v>
      </c>
      <c r="C49" s="16" t="inlineStr">
        <is>
          <t>Bireysel başvurucu, ChatGPT ve ücretsiz listeler varken 299-599 ₺ ödeyip yüklediği belgeyi kontrol ettirir</t>
        </is>
      </c>
      <c r="D49" s="16" t="inlineStr">
        <is>
          <t>5 ülke sayfası ve tek sayfa rapor akışını yayımla; 4 hafta Search Console tık ve ödeme dönüşümünü ölç; ilk 20 ödeme için iade ve fayda oyu topla</t>
        </is>
      </c>
      <c r="E49" s="24" t="n">
        <v>90</v>
      </c>
      <c r="F49" s="24" t="n">
        <v>190</v>
      </c>
      <c r="G49" s="24" t="n">
        <v>20000</v>
      </c>
      <c r="H49" s="16" t="inlineStr">
        <is>
          <t>Ziyaretçiden ödemeye en az yüzde 1; iade yüzde 5'in altında; ay 3'te 20 ücretli kontrol</t>
        </is>
      </c>
      <c r="I49" s="16" t="inlineStr">
        <is>
          <t>Ay 3'te 5'ten az ödeme ya da iade yüzde 10'un üstünde</t>
        </is>
      </c>
      <c r="J49" s="16" t="inlineStr">
        <is>
          <t>Acente beyaz etiket bağlantısı ve yeniden kontrol; Seçenek A müşterilerine kota olarak ekleme</t>
        </is>
      </c>
    </row>
    <row r="50">
      <c r="A50" s="7" t="str">
        <f>Secenekler!A50</f>
        <v>software-factory-a</v>
      </c>
      <c r="B50" s="7" t="str">
        <f>Secenekler!C50</f>
        <v>Sabit fiyatlı kanıtlı MVP paketi (S/M/L)</v>
      </c>
      <c r="C50" s="16" t="inlineStr">
        <is>
          <t>CTO'suz girişim kurucusu, kanıt paketli sabit fiyatlı S paketi için maliyetine bile olsa depozito öder</t>
        </is>
      </c>
      <c r="D50" s="16" t="inlineStr">
        <is>
          <t>50 girişim listesi; kişisel mesaj ve 2 yürütücü kuruluşta ücretsiz hikâye kliniği; 45 dk seans sonrası yazılı S teklifi, 50.000 ₺, %50 peşin</t>
        </is>
      </c>
      <c r="E50" s="24" t="n">
        <v>30</v>
      </c>
      <c r="F50" s="24" t="n">
        <v>40</v>
      </c>
      <c r="G50" s="24" t="n">
        <v>0</v>
      </c>
      <c r="H50" s="16" t="inlineStr">
        <is>
          <t>30 günde en az 3 seans ve 1 yazılı kabul ile 25.000 ₺ depozito</t>
        </is>
      </c>
      <c r="I50" s="16" t="inlineStr">
        <is>
          <t>15 nitelikli seanstan sonra 0 depozito</t>
        </is>
      </c>
      <c r="J50" s="16" t="inlineStr">
        <is>
          <t>Pilotu teslim et, kanıt karnesini yayımla, ikinci aşamada M teklifi ve bakım teklifi sun</t>
        </is>
      </c>
    </row>
    <row r="51">
      <c r="A51" s="7" t="str">
        <f>Secenekler!A51</f>
        <v>software-factory-b</v>
      </c>
      <c r="B51" s="7" t="str">
        <f>Secenekler!C51</f>
        <v>Tek repo için ajan PR makbuzu kurulum hizmeti</v>
      </c>
      <c r="C51" s="16" t="inlineStr">
        <is>
          <t>Bir engineering lead, ücretsiz dry-run sonrası ikinci işe geçer ve tek repo kurulumuna para öder</t>
        </is>
      </c>
      <c r="D51" s="16" t="inlineStr">
        <is>
          <t>Ücretsiz Action ve örnek repo yayımla; 10 ekibe kişisel mesajla dry-run öner; ikinci hafta ikinci iş; ardından 300-800 $ yazılı kurulum teklifi</t>
        </is>
      </c>
      <c r="E51" s="24" t="n">
        <v>30</v>
      </c>
      <c r="F51" s="24" t="n">
        <v>40</v>
      </c>
      <c r="G51" s="24" t="n">
        <v>0</v>
      </c>
      <c r="H51" s="16" t="inlineStr">
        <is>
          <t>3 dış dry-run; en az 1 ekip ikinci işe geçer ve fiyatı yazılı kabul eder</t>
        </is>
      </c>
      <c r="I51" s="16" t="inlineStr">
        <is>
          <t>30 aktif denemede kimse ikinci işe geçmiyor</t>
        </is>
      </c>
      <c r="J51" s="16" t="inlineStr">
        <is>
          <t>Onboarding ve vaadi değiştir; barındırılan kontrol paneli geliştirme</t>
        </is>
      </c>
    </row>
    <row r="52">
      <c r="A52" s="7" t="str">
        <f>Secenekler!A52</f>
        <v>software-factory-c</v>
      </c>
      <c r="B52" s="7" t="str">
        <f>Secenekler!C52</f>
        <v>Ajanslara beyaz etiket kanıtlı MVP kapasitesi</v>
      </c>
      <c r="C52" s="16" t="inlineStr">
        <is>
          <t>Geliştirici kadrosu olmayan bir ajans, kendi markasıyla kanıtlı MVP satmak için toptan fiyatla S paket deneme işi verir</t>
        </is>
      </c>
      <c r="D52" s="16" t="inlineStr">
        <is>
          <t>40 ajans listesi; haftada 10 kişisel mesaj; 20 dk kanıt paketi gösterimi; ilk iş için S toptan teklifi, %50 peşin</t>
        </is>
      </c>
      <c r="E52" s="24" t="n">
        <v>45</v>
      </c>
      <c r="F52" s="24" t="n">
        <v>35</v>
      </c>
      <c r="G52" s="24" t="n">
        <v>0</v>
      </c>
      <c r="H52" s="16" t="inlineStr">
        <is>
          <t>45 günde 8 görüşme, 2 yazılı teklif, 1 ajanstan depozito</t>
        </is>
      </c>
      <c r="I52" s="16" t="inlineStr">
        <is>
          <t>12 görüşmeden sonra 0 yazılı teklif talebi</t>
        </is>
      </c>
      <c r="J52" s="16" t="inlineStr">
        <is>
          <t>Deneme işini teslim et; ajans markalı karne ile ikinci ajansa ve M toptan teklife geç</t>
        </is>
      </c>
    </row>
    <row r="53">
      <c r="A53" s="7" t="str">
        <f>Secenekler!A53</f>
        <v>strateji-simulatoru-a</v>
      </c>
      <c r="B53" s="7" t="str">
        <f>Secenekler!C53</f>
        <v>Kuluçka ve BİGG uygulayıcıya white-label lisans</v>
      </c>
      <c r="C53" s="16" t="inlineStr">
        <is>
          <t>Bir uygulayıcı kuruluş ücretsiz pilotun ardından yıllık lisans bedelini ödemeye razı olur</t>
        </is>
      </c>
      <c r="D53" s="16" t="inlineStr">
        <is>
          <t>30 kuruma kişisel e-posta, 15 dakikalık demo ve 3 kurumla 3 aylık pilot; mentor saati ve tamamlanma oranı önce ve sonra ölçülür.</t>
        </is>
      </c>
      <c r="E53" s="24" t="n">
        <v>60</v>
      </c>
      <c r="F53" s="24" t="n">
        <v>40</v>
      </c>
      <c r="G53" s="24" t="n">
        <v>0</v>
      </c>
      <c r="H53" s="16" t="inlineStr">
        <is>
          <t>30 e-postadan en az 10 yanıt, 5 demo, 2 pilot; en az 1 kurumdan yazılı lisans niyeti</t>
        </is>
      </c>
      <c r="I53" s="16" t="inlineStr">
        <is>
          <t>30 e-postadan 3'ten az yanıt ya da pilotların hiçbirinde tamamlanma %70'in üzerine çıkmıyor</t>
        </is>
      </c>
      <c r="J53" s="16" t="inlineStr">
        <is>
          <t>Kurum önünde pilot sonuçlarıyla 24.900 TL teklifi ve kohort karşılaştırma modülü</t>
        </is>
      </c>
    </row>
    <row r="54">
      <c r="A54" s="7" t="str">
        <f>Secenekler!A54</f>
        <v>strateji-simulatoru-b</v>
      </c>
      <c r="B54" s="7" t="str">
        <f>Secenekler!C54</f>
        <v>Girişimci adayına ücretli yönetici raporu (PDF)</v>
      </c>
      <c r="C54" s="16" t="inlineStr">
        <is>
          <t>Girişimci adayı, ücretsiz değerlendirmeyi bitirdikten sonra ChatGPT yerine 349-749 TL ödeyip rapor alır</t>
        </is>
      </c>
      <c r="D54" s="16" t="inlineStr">
        <is>
          <t>Mevcut müşterilere 149 TL kurucu fiyatıyla erken erişim e-postası; satış sayfası olmadan ödeme bağlantısı ve elle PDF teslimi.</t>
        </is>
      </c>
      <c r="E54" s="24" t="n">
        <v>21</v>
      </c>
      <c r="F54" s="24" t="n">
        <v>14</v>
      </c>
      <c r="G54" s="24" t="n">
        <v>600</v>
      </c>
      <c r="H54" s="16" t="inlineStr">
        <is>
          <t>İlk 40 kişilik e-postadan en az 5 ödeme ya da ön ödeme</t>
        </is>
      </c>
      <c r="I54" s="16" t="inlineStr">
        <is>
          <t>40 e-postadan 2'den az ödeme ve rapor sonrası geri bildirimde 'ChatGPT yeter' baskın</t>
        </is>
      </c>
      <c r="J54" s="16" t="inlineStr">
        <is>
          <t>Satış sayfası, ücretli arama içeriği ve kulüp atölyeleri</t>
        </is>
      </c>
    </row>
    <row r="55">
      <c r="A55" s="7" t="str">
        <f>Secenekler!A55</f>
        <v>strateji-simulatoru-c</v>
      </c>
      <c r="B55" s="7" t="str">
        <f>Secenekler!C55</f>
        <v>Mevcut müşterilere değerlendirme raporu ve yorum görüşmesi</v>
      </c>
      <c r="C55" s="16" t="inlineStr">
        <is>
          <t>Mevcut müşteriler hibe ya da yatırım kararından önce 1.500 TL'lik değerlendirme ve görüşme paketini satın alır</t>
        </is>
      </c>
      <c r="D55" s="16" t="inlineStr">
        <is>
          <t>Mevcut müşterilerden 10 kişiye kişisel e-posta ve ödeme bilgisiyle teklif; aracın mevcut halini 20 dakikalık ortak oturumda kullandırmak.</t>
        </is>
      </c>
      <c r="E55" s="24" t="n">
        <v>14</v>
      </c>
      <c r="F55" s="24" t="n">
        <v>10</v>
      </c>
      <c r="G55" s="24" t="n">
        <v>0</v>
      </c>
      <c r="H55" s="16" t="inlineStr">
        <is>
          <t>10 teklifte en az 2 ödeme ya da yazılı onay; rapor sonunda 'tekrar alırım' yanıtı</t>
        </is>
      </c>
      <c r="I55" s="16" t="inlineStr">
        <is>
          <t>10 teklifte 0 ödeme ve görüşmelerde 'ücretsiz araç yeter' baskın</t>
        </is>
      </c>
      <c r="J55" s="16" t="inlineStr">
        <is>
          <t>Paketi PDF rapora ve raporu kuluçka pilotuna taşımak</t>
        </is>
      </c>
    </row>
    <row r="56">
      <c r="A56" s="7" t="str">
        <f>Secenekler!A56</f>
        <v>ajan-kaynak-koruyucu-a</v>
      </c>
      <c r="B56" s="7" t="str">
        <f>Secenekler!C56</f>
        <v>Pro menü çubuğu uygulaması ve rehber paketi (bireysel geliştirici)</v>
      </c>
      <c r="C56" s="16" t="inlineStr">
        <is>
          <t>Ücretsiz rakipler ve ücretsiz çekirdek varken geliştiriciler menü çubuğu uygulaması için 15 $ ön ödeme yapar</t>
        </is>
      </c>
      <c r="D56" s="16" t="inlineStr">
        <is>
          <t>Açık kaynak çekirdeği yayımla; 20 kişilik beta listesi ve 5 ekip tanıdığına menü çubuğu önizlemesi göster; 15 $ ön sipariş bağlantısı koy.</t>
        </is>
      </c>
      <c r="E56" s="24" t="n">
        <v>30</v>
      </c>
      <c r="F56" s="24" t="n">
        <v>25</v>
      </c>
      <c r="G56" s="24" t="n">
        <v>1500</v>
      </c>
      <c r="H56" s="16" t="inlineStr">
        <is>
          <t>20 beta kişisinden en az 5 ön sipariş ya da 300 yıldız ve 10 ön sipariş</t>
        </is>
      </c>
      <c r="I56" s="16" t="inlineStr">
        <is>
          <t>30 günde 2'den az ön sipariş ve 100'den az yıldız</t>
        </is>
      </c>
      <c r="J56" s="16" t="inlineStr">
        <is>
          <t>Ön sipariş gelirse notarize uygulamayı bitir; gelmezse yalnız açık kaynak ve destek paketine dön</t>
        </is>
      </c>
    </row>
    <row r="57">
      <c r="A57" s="7" t="str">
        <f>Secenekler!A57</f>
        <v>ajan-kaynak-koruyucu-b</v>
      </c>
      <c r="B57" s="7" t="str">
        <f>Secenekler!C57</f>
        <v>Rapor-yalnız paket ve destekli kurulum/uyumluluk hizmeti</v>
      </c>
      <c r="C57" s="16" t="inlineStr">
        <is>
          <t>Ücretsiz rapor aracını kullanan biri, sorun tekrarlayınca teşhis ve kurulum desteği için 60 $ öder</t>
        </is>
      </c>
      <c r="D57" s="16" t="inlineStr">
        <is>
          <t>Rapor-yalnız paketi yayımla; sorun gideren 10 kişiye raporlarını ücretsiz incele; ikinci kez sorun yaşayana 60 $ destekli kurulum teklif et.</t>
        </is>
      </c>
      <c r="E57" s="24" t="n">
        <v>45</v>
      </c>
      <c r="F57" s="24" t="n">
        <v>20</v>
      </c>
      <c r="G57" s="24" t="n">
        <v>500</v>
      </c>
      <c r="H57" s="16" t="inlineStr">
        <is>
          <t>45 günde en az 2 ücretli destekli kurulum</t>
        </is>
      </c>
      <c r="I57" s="16" t="inlineStr">
        <is>
          <t>90 günde ücretli destek talebi yok ve tekrar sorun yaşayan 5 kullanıcı bulunamadı</t>
        </is>
      </c>
      <c r="J57" s="16" t="inlineStr">
        <is>
          <t>Talep gelirse takım paketini (sürüm uyumluluğu, politika dosyası) sat; gelmezse yalnız bakım aracı olarak tut</t>
        </is>
      </c>
    </row>
    <row r="58">
      <c r="A58" s="7" t="str">
        <f>Secenekler!A58</f>
        <v>ajan-kaynak-koruyucu-c</v>
      </c>
      <c r="B58" s="7" t="str">
        <f>Secenekler!C58</f>
        <v>Orkestratör ortaklığı ve kurumsal sponsorluk (kabul API'si)</v>
      </c>
      <c r="C58" s="16" t="inlineStr">
        <is>
          <t>Bir orkestratör şirketi kabul API'si karşılığında ayda 64 $ sponsor olur</t>
        </is>
      </c>
      <c r="D58" s="16" t="inlineStr">
        <is>
          <t>Örnek entegrasyon PR'ı hazırla, iki orkestratör projesine sun, ücretli sponsorluk kademesini görünür yap.</t>
        </is>
      </c>
      <c r="E58" s="24" t="n">
        <v>30</v>
      </c>
      <c r="F58" s="24" t="n">
        <v>15</v>
      </c>
      <c r="G58" s="24" t="n">
        <v>0</v>
      </c>
      <c r="H58" s="16" t="inlineStr">
        <is>
          <t>En az 1 entegrasyon PR'ı kabul ve 1 sponsor ya da yazılı sponsorluk niyeti</t>
        </is>
      </c>
      <c r="I58" s="16" t="inlineStr">
        <is>
          <t>2 orkestratörden yanıt yok ya da entegrasyon reddi ve 30 günde sponsor yok</t>
        </is>
      </c>
      <c r="J58" s="16" t="inlineStr">
        <is>
          <t>Entegrasyon kabul edilirse ikinci orkestratöre git; sponsor gelirse yol haritası oylaması başlat</t>
        </is>
      </c>
    </row>
    <row r="59">
      <c r="A59" s="7" t="str">
        <f>Secenekler!A59</f>
        <v>actionplan-a</v>
      </c>
      <c r="B59" s="7" t="str">
        <f>Secenekler!C59</f>
        <v>Ajan görev paketi: açık çekirdek ve Pro şablonlar</v>
      </c>
      <c r="C59" s="16" t="inlineStr">
        <is>
          <t>Ajan kullanan geliştiriciler görev paketi için çekirdek ücretsiz dururken Pro şablonlara para öder</t>
        </is>
      </c>
      <c r="D59" s="16" t="inlineStr">
        <is>
          <t>Boş proje ve paket dışa aktarmayı yayınla; 20 kişiye davet; 15 dakikalık görüşmeler; Pro için ödeme niyeti ve ön sipariş sor</t>
        </is>
      </c>
      <c r="E59" s="24" t="n">
        <v>14</v>
      </c>
      <c r="F59" s="24" t="n">
        <v>40</v>
      </c>
      <c r="G59" s="24" t="n">
        <v>600</v>
      </c>
      <c r="H59" s="16" t="inlineStr">
        <is>
          <t>En az 100 depo yıldızı ve en az 5 kişiden ön ödeme ya da yazılı ödeme niyeti</t>
        </is>
      </c>
      <c r="I59" s="16" t="inlineStr">
        <is>
          <t>100 yıldızın altı ya da 5 niyetin altı: iç araç olarak bırak</t>
        </is>
      </c>
      <c r="J59" s="16" t="inlineStr">
        <is>
          <t>Lemon Squeezy sayfası, ilk 10 lisans, 4 şablon ve Linear CSV içe aktarma</t>
        </is>
      </c>
    </row>
    <row r="60">
      <c r="A60" s="7" t="str">
        <f>Secenekler!A60</f>
        <v>actionplan-b</v>
      </c>
      <c r="B60" s="7" t="str">
        <f>Secenekler!C60</f>
        <v>Teslim kabul kurulumu: sürümlü kapsam ve kanıt paketi</v>
      </c>
      <c r="C60" s="16" t="inlineStr">
        <is>
          <t>Ajans proje liderleri müşteri kabul belgesi için kurulum ücreti öder</t>
        </is>
      </c>
      <c r="D60" s="16" t="inlineStr">
        <is>
          <t>Anonim 3 teslimlik örnek yayınla; 20 liderle görüş; 3 ajanstan ücretli pilot iste; kabul belgesinin müşteri tarafından açılıp açılmadığını ölç</t>
        </is>
      </c>
      <c r="E60" s="24" t="n">
        <v>21</v>
      </c>
      <c r="F60" s="24" t="n">
        <v>30</v>
      </c>
      <c r="G60" s="24" t="n">
        <v>0</v>
      </c>
      <c r="H60" s="16" t="inlineStr">
        <is>
          <t>En az 1 ajans ücretli pilot kabul eder ve müşteri en az 5 kabul belgesini açar</t>
        </is>
      </c>
      <c r="I60" s="16" t="inlineStr">
        <is>
          <t>20 görüşmede 0 ücretli niyet ya da müşteriler belgeleri açmıyor: iç QA aracı olarak bırak</t>
        </is>
      </c>
      <c r="J60" s="16" t="inlineStr">
        <is>
          <t>Tek yönlü Plane ya da GitHub içe aktarma adaptörü ve çalışma alanı aboneliği</t>
        </is>
      </c>
    </row>
    <row r="61">
      <c r="A61" s="7" t="str">
        <f>Secenekler!A61</f>
        <v>actionplan-c</v>
      </c>
      <c r="B61" s="7" t="str">
        <f>Secenekler!C61</f>
        <v>Türkçe ajan görev şablon paketi</v>
      </c>
      <c r="C61" s="16" t="inlineStr">
        <is>
          <t>Türkiye'deki ajan kullanıcıları İngilizce ücretsiz şablon dururken Türkçe paket için 490 TL öder</t>
        </is>
      </c>
      <c r="D61" s="16" t="inlineStr">
        <is>
          <t>4 şablonu ve videoyu hazırla; 30 kişilik hedef listeye ön sipariş sayfası göster; ödemeyi havale ile al</t>
        </is>
      </c>
      <c r="E61" s="24" t="n">
        <v>14</v>
      </c>
      <c r="F61" s="24" t="n">
        <v>25</v>
      </c>
      <c r="G61" s="24" t="n">
        <v>0</v>
      </c>
      <c r="H61" s="16" t="inlineStr">
        <is>
          <t>14 günde en az 5 ön ödeme</t>
        </is>
      </c>
      <c r="I61" s="16" t="inlineStr">
        <is>
          <t>14 günde 2'den az ön ödeme: Türkçe paketi bırak</t>
        </is>
      </c>
      <c r="J61" s="16" t="inlineStr">
        <is>
          <t>Şablon sayısını artır ve araç içinde sat; bülten ve eğitmen ortaklığı</t>
        </is>
      </c>
    </row>
    <row r="62">
      <c r="A62" s="7" t="str">
        <f>Secenekler!A62</f>
        <v>ajan-gozlem-paneli-a</v>
      </c>
      <c r="B62" s="7" t="str">
        <f>Secenekler!C62</f>
        <v>Koruyucu Pro içinde Gözlem Paneli (tek seferlik lisans)</v>
      </c>
      <c r="C62" s="16" t="inlineStr">
        <is>
          <t>Geliştiriciler ücretsiz ccusage varken bellek ve maliyet birlikteliği için 19 USD öder</t>
        </is>
      </c>
      <c r="D62" s="16" t="inlineStr">
        <is>
          <t>İç çevreden 5 kişi ve 5 gönüllüyü bul, statik raporu ver, Pro ön sipariş bağlantısı ve fiyat sayfası aç, kurulum ve ön sipariş say</t>
        </is>
      </c>
      <c r="E62" s="24" t="n">
        <v>21</v>
      </c>
      <c r="F62" s="24" t="n">
        <v>30</v>
      </c>
      <c r="G62" s="24" t="n">
        <v>0</v>
      </c>
      <c r="H62" s="16" t="inlineStr">
        <is>
          <t>10 davetliden en az 3 kişi 19 USD ön sipariş verir</t>
        </is>
      </c>
      <c r="I62" s="16" t="inlineStr">
        <is>
          <t>21 günde 0 ön sipariş ve ccusage paritesi yüzde 2 içinde değil</t>
        </is>
      </c>
      <c r="J62" s="16" t="inlineStr">
        <is>
          <t>Pro menü çubuğu paneli ve bütçe uyarısı</t>
        </is>
      </c>
    </row>
    <row r="63">
      <c r="A63" s="7" t="str">
        <f>Secenekler!A63</f>
        <v>ajan-gozlem-paneli-b</v>
      </c>
      <c r="B63" s="7" t="str">
        <f>Secenekler!C63</f>
        <v>Ajanslar için aylık proje bazlı yapay zekâ maliyet raporu</v>
      </c>
      <c r="C63" s="16" t="inlineStr">
        <is>
          <t>Ajans sahipleri proje bazlı yapay zekâ maliyeti için aylık ücret öder</t>
        </is>
      </c>
      <c r="D63" s="16" t="inlineStr">
        <is>
          <t>20 ajans sahibine örnek rapor ve 1.500 TL aylık teklif gönder, 5 demo yap, ilk raporu elle teslim et</t>
        </is>
      </c>
      <c r="E63" s="24" t="n">
        <v>30</v>
      </c>
      <c r="F63" s="24" t="n">
        <v>25</v>
      </c>
      <c r="G63" s="24" t="n">
        <v>0</v>
      </c>
      <c r="H63" s="16" t="inlineStr">
        <is>
          <t>20 mesajdan en az 5 demo ve en az 1 ücretli abonelik</t>
        </is>
      </c>
      <c r="I63" s="16" t="inlineStr">
        <is>
          <t>30 günde 0 demo ya da 0 ödeme niyeti</t>
        </is>
      </c>
      <c r="J63" s="16" t="inlineStr">
        <is>
          <t>Paketi 5 ajansa sat, sonra ekip dışa aktarım dosyalarını birleştiren araç</t>
        </is>
      </c>
    </row>
    <row r="64">
      <c r="A64" s="7" t="str">
        <f>Secenekler!A64</f>
        <v>ajan-gozlem-paneli-c</v>
      </c>
      <c r="B64" s="7" t="str">
        <f>Secenekler!C64</f>
        <v>Yapay zekâ iş izleme kartı kurulum paketi</v>
      </c>
      <c r="C64" s="16" t="inlineStr">
        <is>
          <t>Bir operatör bekleyen işi görünür kılan sabit kapsamlı kart için ödeme yapar</t>
        </is>
      </c>
      <c r="D64" s="16" t="inlineStr">
        <is>
          <t>7 günde üç durum örneğini bağla, kartı ve çıktıyı yayımla, 5 operatörden kabul ve ret nedenini yazılı al</t>
        </is>
      </c>
      <c r="E64" s="24" t="n">
        <v>14</v>
      </c>
      <c r="F64" s="24" t="n">
        <v>35</v>
      </c>
      <c r="G64" s="24" t="n">
        <v>0</v>
      </c>
      <c r="H64" s="16" t="inlineStr">
        <is>
          <t>En az 1 operatör tekrar kullanım ya da ücretli uyarlama talep eder</t>
        </is>
      </c>
      <c r="I64" s="16" t="inlineStr">
        <is>
          <t>5 görüşmede 0 tekrar talebi</t>
        </is>
      </c>
      <c r="J64" s="16" t="inlineStr">
        <is>
          <t>Ücretli tek uyarlama; tekrar talep varsa küçük kit</t>
        </is>
      </c>
    </row>
    <row r="65">
      <c r="A65" s="7" t="str">
        <f>Secenekler!A65</f>
        <v>ai-first-tasarim-a</v>
      </c>
      <c r="B65" s="7" t="str">
        <f>Secenekler!C65</f>
        <v>Türkçe yapay zekâ öncelikli tasarım sistemi rehberi (e-kitap)</v>
      </c>
      <c r="C65" s="16" t="inlineStr">
        <is>
          <t>Türk frontend geliştiriciler Türkçe tasarım sistemi rehberine 399 ₺ ödemeye hazır</t>
        </is>
      </c>
      <c r="D65" s="16" t="inlineStr">
        <is>
          <t>Ücretsiz bölüm 1'i ve ön satış sayfasını yayınla; LinkedIn dizisi, Show HN ve topluluk paylaşımı; ilk 10 alıcıya %40 indirimli ön satış.</t>
        </is>
      </c>
      <c r="E65" s="24" t="n">
        <v>30</v>
      </c>
      <c r="F65" s="24" t="n">
        <v>40</v>
      </c>
      <c r="G65" s="24" t="n">
        <v>1000</v>
      </c>
      <c r="H65" s="16" t="inlineStr">
        <is>
          <t>30 günde en az 10 ödeme ve ücretsiz bölümden satın almaya en az %2 dönüşüm</t>
        </is>
      </c>
      <c r="I65" s="16" t="inlineStr">
        <is>
          <t>30 günde 3'ten az ödeme; dönüşüm %1'in altında</t>
        </is>
      </c>
      <c r="J65" s="16" t="inlineStr">
        <is>
          <t>Başarılıysa bölüm 6-10'u yaz ve İngilizce sürüm; değilse içeriği kurulum hizmetine (B) bağla</t>
        </is>
      </c>
    </row>
    <row r="66">
      <c r="A66" s="7" t="str">
        <f>Secenekler!A66</f>
        <v>ai-first-tasarim-b</v>
      </c>
      <c r="B66" s="7" t="str">
        <f>Secenekler!C66</f>
        <v>Ekip atölyesi ve 2 haftalık tasarım sistemi kurulumu</v>
      </c>
      <c r="C66" s="16" t="inlineStr">
        <is>
          <t>Bir yazılım ekibi tek kurucudan atölye ya da kurulum satın almaya güvenir ve 25.000 ₺ ödeyebilir</t>
        </is>
      </c>
      <c r="D66" s="16" t="inlineStr">
        <is>
          <t>Kişisel ağdaki 10 frontend liderine 20 dk demo öner; ilgilenene 1 sayfalık atölye teklifi gönder, 24 saatte yanıt iste.</t>
        </is>
      </c>
      <c r="E66" s="24" t="n">
        <v>45</v>
      </c>
      <c r="F66" s="24" t="n">
        <v>35</v>
      </c>
      <c r="G66" s="24" t="n">
        <v>0</v>
      </c>
      <c r="H66" s="16" t="inlineStr">
        <is>
          <t>45 günde en az 4 demo, 1 yazılı teklif yanıtı ve 1 atölye için ön ödeme ya da imzalı niyet</t>
        </is>
      </c>
      <c r="I66" s="16" t="inlineStr">
        <is>
          <t>45 günde 10 görüşmeden hiç demo ya da teklif talebi çıkmıyor</t>
        </is>
      </c>
      <c r="J66" s="16" t="inlineStr">
        <is>
          <t>Atölye satılırsa teslim et, vakayı yayınla ve 2 haftalık kurulum teklif et</t>
        </is>
      </c>
    </row>
    <row r="67">
      <c r="A67" s="7" t="str">
        <f>Secenekler!A67</f>
        <v>ai-first-tasarim-c</v>
      </c>
      <c r="B67" s="7" t="str">
        <f>Secenekler!C67</f>
        <v>Ajansa sabit fiyatlı form ve tablo kabul dosyası paketi</v>
      </c>
      <c r="C67" s="16" t="inlineStr">
        <is>
          <t>Ajanslar tek form ve tabloluk dar kabul dosyasına 18.000 ₺ öder</t>
        </is>
      </c>
      <c r="D67" s="16" t="inlineStr">
        <is>
          <t>Aynı formun iki farklı üretimini ve kabul dosyasıyla farkın azaldığı üçüncü üretimi anonim örnek yap; 10 ajans sahibine göster, ücretli pilot öner.</t>
        </is>
      </c>
      <c r="E67" s="24" t="n">
        <v>30</v>
      </c>
      <c r="F67" s="24" t="n">
        <v>25</v>
      </c>
      <c r="G67" s="24" t="n">
        <v>0</v>
      </c>
      <c r="H67" s="16" t="inlineStr">
        <is>
          <t>30 günde 3 ajansla görüşme ve 1 yazılı pilot niyeti ya da ön ödeme</t>
        </is>
      </c>
      <c r="I67" s="16" t="inlineStr">
        <is>
          <t>10 gösterimden hiçbiri fiyat ya da pilot sormuyor</t>
        </is>
      </c>
      <c r="J67" s="16" t="inlineStr">
        <is>
          <t>Pilot satılırsa ikinci ekran paketi ve ajans başına toplu fiyat; satılmazsa rehbere (A) ek bölüm yap</t>
        </is>
      </c>
    </row>
    <row r="68">
      <c r="A68" s="7" t="str">
        <f>Secenekler!A68</f>
        <v>aicommandcard-a</v>
      </c>
      <c r="B68" s="7" t="str">
        <f>Secenekler!C68</f>
        <v>QR menü ürününde AI asistan (₺999 plan katmanı)</v>
      </c>
      <c r="C68" s="16" t="inlineStr">
        <is>
          <t>Pilot kafe sahibi AI taslağını haftada en az bir kez kullanır ve ₺500 farkı ödemeye razıdır</t>
        </is>
      </c>
      <c r="D68" s="16" t="inlineStr">
        <is>
          <t>5 pilot kafe, 30 gün, 2 eylem açık; haftalık kullanım, kabul edilen taslak oranı ve yükseltme isteği ölçülür; ardından fiyat sorulur</t>
        </is>
      </c>
      <c r="E68" s="24" t="n">
        <v>45</v>
      </c>
      <c r="F68" s="24" t="n">
        <v>60</v>
      </c>
      <c r="G68" s="24" t="n">
        <v>1500</v>
      </c>
      <c r="H68" s="16" t="inlineStr">
        <is>
          <t>Haftalık aktif kullanım en az %50, kabul oranı %60, 5 pilottan en az 1 yazılı yükseltme niyeti</t>
        </is>
      </c>
      <c r="I68" s="16" t="inlineStr">
        <is>
          <t>Haftalık kullanım %20 altı ya da hiç ödeme niyeti yok</t>
        </is>
      </c>
      <c r="J68" s="16" t="inlineStr">
        <is>
          <t>Fiyat teklifi ve ne-olur eylemleri; genele açılış; ek kota satışı</t>
        </is>
      </c>
    </row>
    <row r="69">
      <c r="A69" s="7" t="str">
        <f>Secenekler!A69</f>
        <v>aicommandcard-b</v>
      </c>
      <c r="B69" s="7" t="str">
        <f>Secenekler!C69</f>
        <v>Sabit kapsamlı AiCommandCard entegrasyon paketi</v>
      </c>
      <c r="C69" s="16" t="inlineStr">
        <is>
          <t>Bir ajans ya da ekip, ücretsiz paket varken bile hazır entegrasyon için sabit fiyat öder</t>
        </is>
      </c>
      <c r="D69" s="16" t="inlineStr">
        <is>
          <t>Paket sayfası ve demo yayımla; 20 ajans ve ekibe mesaj; ilgi gösterenle 15 dakikalık görüşme; yazılı teklif ve ön ödeme iste</t>
        </is>
      </c>
      <c r="E69" s="24" t="n">
        <v>21</v>
      </c>
      <c r="F69" s="24" t="n">
        <v>15</v>
      </c>
      <c r="G69" s="24" t="n">
        <v>0</v>
      </c>
      <c r="H69" s="16" t="inlineStr">
        <is>
          <t>20 mesajdan en az 3 yanıt ve 1 yazılı teklif kabulü ya da ön ödeme</t>
        </is>
      </c>
      <c r="I69" s="16" t="inlineStr">
        <is>
          <t>20 mesajdan 0 yanıt ve yayınlardan sıfır ilgi</t>
        </is>
      </c>
      <c r="J69" s="16" t="inlineStr">
        <is>
          <t>Ücretli şablon seti ya da ajans lisansı; yalnız tekrar talep görülürse</t>
        </is>
      </c>
    </row>
    <row r="70">
      <c r="A70" s="7" t="str">
        <f>Secenekler!A70</f>
        <v>atonota-denetim-a</v>
      </c>
      <c r="B70" s="7" t="str">
        <f>Secenekler!C70</f>
        <v>Ücretsiz puan kartı eklentisi ve Pro yıllık lisans</v>
      </c>
      <c r="C70" s="16" t="inlineStr">
        <is>
          <t>Ücretsiz kurulan Türk KOBİ siteleri tarama sonrası Pro için ödeme yapar (ücretsiz-Pro en az %1).</t>
        </is>
      </c>
      <c r="D70" s="16" t="inlineStr">
        <is>
          <t>MVP'yi 10 mevcut müşteri sitesine kurup 3 ajansa canlı tarama göstermek; ödeme bağlantılı Pro sayfası açıp wordpress.org başvurusunu göndermek.</t>
        </is>
      </c>
      <c r="E70" s="24" t="n">
        <v>60</v>
      </c>
      <c r="F70" s="24" t="n">
        <v>60</v>
      </c>
      <c r="G70" s="24" t="n">
        <v>500</v>
      </c>
      <c r="H70" s="16" t="inlineStr">
        <is>
          <t>60 günde yayın, 300 kurulum ve en az 3 ön ödeme yapan Pro müşterisi</t>
        </is>
      </c>
      <c r="I70" s="16" t="inlineStr">
        <is>
          <t>90. günde 1.000 kurulumun ve 20 Pro'nun çok altında kalmak; o zaman dahili araç olarak sürdür</t>
        </is>
      </c>
      <c r="J70" s="16" t="inlineStr">
        <is>
          <t>Pro haftalık tarama ve PDF; ardından ajans lisansı ve portal beta</t>
        </is>
      </c>
    </row>
    <row r="71">
      <c r="A71" s="7" t="str">
        <f>Secenekler!A71</f>
        <v>atonota-denetim-b</v>
      </c>
      <c r="B71" s="7" t="str">
        <f>Secenekler!C71</f>
        <v>Ajans lisansı: 25 site için aylık müşteri sağlık raporu</v>
      </c>
      <c r="C71" s="16" t="inlineStr">
        <is>
          <t>Ajans sahibi, otomatik logolu PDF için 7.150 TL/yıl öder ve ilk 3 sitede denemeden sonra lisansa geçer.</t>
        </is>
      </c>
      <c r="D71" s="16" t="inlineStr">
        <is>
          <t>30 ajanslık listeden 10 ajansa 15 dakikalık canlı tarama demosu; ilgilenene 3 sitede ücretsiz deneme ve ay sonunda lisans teklifi.</t>
        </is>
      </c>
      <c r="E71" s="24" t="n">
        <v>45</v>
      </c>
      <c r="F71" s="24" t="n">
        <v>40</v>
      </c>
      <c r="G71" s="24" t="n">
        <v>300</v>
      </c>
      <c r="H71" s="16" t="inlineStr">
        <is>
          <t>10 demodan en az 3 deneme ve 45 günde en az 1 ödenmiş ajans lisansı</t>
        </is>
      </c>
      <c r="I71" s="16" t="inlineStr">
        <is>
          <t>20 demoda ödeme ya da yazılı niyet çıkmazsa ajans satışını bırak</t>
        </is>
      </c>
      <c r="J71" s="16" t="inlineStr">
        <is>
          <t>Müşteri portalı beta ve ücretsiz eklentiyle dizin yayını</t>
        </is>
      </c>
    </row>
    <row r="72">
      <c r="A72" s="7" t="str">
        <f>Secenekler!A72</f>
        <v>atonota-denetim-c</v>
      </c>
      <c r="B72" s="7" t="str">
        <f>Secenekler!C72</f>
        <v>Ajans için müşteri kabul ve teslim kaydı hizmeti (pilot)</v>
      </c>
      <c r="C72" s="16" t="inlineStr">
        <is>
          <t>Ajans, müşteri kabul kaydı için aylık 5.000 TL öder ve rapor/revizyon emeğinde yüzde 30 düşüş görür.</t>
        </is>
      </c>
      <c r="D72" s="16" t="inlineStr">
        <is>
          <t>Elle birleştirilmiş çıktılarla bir ajansın tek müşterisinde ilk kabul kaydını çıkarmak; 30 günde kabul oranı ve ajans emeğini ölçmek.</t>
        </is>
      </c>
      <c r="E72" s="24" t="n">
        <v>30</v>
      </c>
      <c r="F72" s="24" t="n">
        <v>30</v>
      </c>
      <c r="G72" s="24" t="n">
        <v>0</v>
      </c>
      <c r="H72" s="16" t="inlineStr">
        <is>
          <t>İlk 10 teslimin en az 6'sı müşteri tarafından açılıp kabul edilir ve ajans ücretli pilota geçer</t>
        </is>
      </c>
      <c r="I72" s="16" t="inlineStr">
        <is>
          <t>İlk 10 teslimin 5'i yok sayılır ve revizyon yükü azalmazsa bırak</t>
        </is>
      </c>
      <c r="J72" s="16" t="inlineStr">
        <is>
          <t>Üç ajans ve 20 kabul; sonra rol ve kayıt yönetimi</t>
        </is>
      </c>
    </row>
    <row r="73">
      <c r="A73" s="7" t="str">
        <f>Secenekler!A73</f>
        <v>b2b-bilesenler-a</v>
      </c>
      <c r="B73" s="7" t="str">
        <f>Secenekler!C73</f>
        <v>Site paketine ek: ürün sayfası ve hareket blokları</v>
      </c>
      <c r="C73" s="16" t="inlineStr">
        <is>
          <t>Mevcut site müşterisi, önce/sonra ekran görüntüsünü görünce site paketine 20.000 ₺'lik ürün sayfası bloğunu ekletir</t>
        </is>
      </c>
      <c r="D73" s="16" t="inlineStr">
        <is>
          <t>2 paradigmayı bir yayındaki üretici sitesinde gerçek ürünle göster; 5 mevcut müşteriye ve açık tekliflere blok satırı ekle; kabul, itiraz ve süre kaydet</t>
        </is>
      </c>
      <c r="E73" s="24" t="n">
        <v>30</v>
      </c>
      <c r="F73" s="24" t="n">
        <v>40</v>
      </c>
      <c r="G73" s="24" t="n">
        <v>0</v>
      </c>
      <c r="H73" s="16" t="inlineStr">
        <is>
          <t>5 tekliften en az 1 yazılı kabul ya da avans</t>
        </is>
      </c>
      <c r="I73" s="16" t="inlineStr">
        <is>
          <t>5 tekliften 0 kabul ve fiyat itirazı bloğa değil sitenin kendisine</t>
        </is>
      </c>
      <c r="J73" s="16" t="inlineStr">
        <is>
          <t>Başarıda 4 paradigmaya ve 20 hareket bloğuna genişle; MIT açık kaynak blok deposu yayınla</t>
        </is>
      </c>
    </row>
    <row r="74">
      <c r="A74" s="7" t="str">
        <f>Secenekler!A74</f>
        <v>b2b-bilesenler-b</v>
      </c>
      <c r="B74" s="7" t="str">
        <f>Secenekler!C74</f>
        <v>Tek ürün, iki mobil alıcı görünümü (sabit paket)</v>
      </c>
      <c r="C74" s="16" t="inlineStr">
        <is>
          <t>Ajans ya da ekip, tek ürünlük iki görünüm örneğini 12.000 ₺'ye satın alır</t>
        </is>
      </c>
      <c r="D74" s="16" t="inlineStr">
        <is>
          <t>10 ajans ve ekibe kişiye özel, kendi ürünlerinden birinin örnek görünümünü gönder; yanıt, görüşme ve fiyat tepkisini kaydet</t>
        </is>
      </c>
      <c r="E74" s="24" t="n">
        <v>21</v>
      </c>
      <c r="F74" s="24" t="n">
        <v>25</v>
      </c>
      <c r="G74" s="24" t="n">
        <v>0</v>
      </c>
      <c r="H74" s="16" t="inlineStr">
        <is>
          <t>10 temastan en az 1 ücretli görüşme ve 1 avans</t>
        </is>
      </c>
      <c r="I74" s="16" t="inlineStr">
        <is>
          <t>10 temastan 0 görüşme ve fiyat itirazı yok, ilgisizlik var</t>
        </is>
      </c>
      <c r="J74" s="16" t="inlineStr">
        <is>
          <t>Başarıda ek ürün görünümü satışına ve bloklar paketine geç</t>
        </is>
      </c>
    </row>
    <row r="75">
      <c r="A75" s="7" t="str">
        <f>Secenekler!A75</f>
        <v>b2b-bilesenler-c</v>
      </c>
      <c r="B75" s="7" t="str">
        <f>Secenekler!C75</f>
        <v>Astro ve Tailwind ürün sayfası şablonu (kod satışı)</v>
      </c>
      <c r="C75" s="16" t="inlineStr">
        <is>
          <t>Ücretsiz alternatifler varken geliştiriciler 49 $'a B2B ürün sayfası şablonu alır</t>
        </is>
      </c>
      <c r="D75" s="16" t="inlineStr">
        <is>
          <t>Yalnız 2 paradigmalı ücretsiz sürümü ve 4 paradigmalı ücretli sürümü yayınla; bağlantıyı 3 toplulukta paylaş; indirme ve satış say</t>
        </is>
      </c>
      <c r="E75" s="24" t="n">
        <v>45</v>
      </c>
      <c r="F75" s="24" t="n">
        <v>40</v>
      </c>
      <c r="G75" s="24" t="n">
        <v>0</v>
      </c>
      <c r="H75" s="16" t="inlineStr">
        <is>
          <t>45 günde en az 3 ücretli satış</t>
        </is>
      </c>
      <c r="I75" s="16" t="inlineStr">
        <is>
          <t>45 günde 0 satış ve ücretsiz indirme 100'ün altında</t>
        </is>
      </c>
      <c r="J75" s="16" t="inlineStr">
        <is>
          <t>Başarıda ekip lisansı ve ek paradigma paketi; başarısızlıkta depoyu arşivle</t>
        </is>
      </c>
    </row>
    <row r="76">
      <c r="A76" s="7" t="str">
        <f>Secenekler!A76</f>
        <v>banner-post-a</v>
      </c>
      <c r="B76" s="7" t="str">
        <f>Secenekler!C76</f>
        <v>Zabuno içinde kampanya görseli modülü</v>
      </c>
      <c r="C76" s="16" t="inlineStr">
        <is>
          <t>Pilot restoranlar menüden üretilen görsel için ₺500 daha fazla ödemeye razı olur</t>
        </is>
      </c>
      <c r="D76" s="16" t="inlineStr">
        <is>
          <t>5 pilot kafeye ilk 3 görseli elle üretip gönder; kullanım ve ₺999 plan teklifine yanıt kaydet</t>
        </is>
      </c>
      <c r="E76" s="24" t="n">
        <v>21</v>
      </c>
      <c r="F76" s="24" t="n">
        <v>15</v>
      </c>
      <c r="G76" s="24" t="n">
        <v>0</v>
      </c>
      <c r="H76" s="16" t="inlineStr">
        <is>
          <t>5 kafeden en az 2'si görseli kullanır ve ücretli plana geçmeyi yazılı kabul eder</t>
        </is>
      </c>
      <c r="I76" s="16" t="inlineStr">
        <is>
          <t>Hiçbiri 21 günde görseli paylaşmaz ya da plan geçişini reddeder</t>
        </is>
      </c>
      <c r="J76" s="16" t="inlineStr">
        <is>
          <t>6 şablon + PNG modülünü kod olarak yaz, PDF masa standını ekle</t>
        </is>
      </c>
    </row>
    <row r="77">
      <c r="A77" s="7" t="str">
        <f>Secenekler!A77</f>
        <v>banner-post-b</v>
      </c>
      <c r="B77" s="7" t="str">
        <f>Secenekler!C77</f>
        <v>Sosyal görsel hizmet paketi (sabit kapsam)</v>
      </c>
      <c r="C77" s="16" t="inlineStr">
        <is>
          <t>Mevcut müşteriler ayda ₺7.500 ödemeye razı olur</t>
        </is>
      </c>
      <c r="D77" s="16" t="inlineStr">
        <is>
          <t>3 müşteriye 3 örnek görsel ve teklif gönder; yanıtı ve itirazı kaydet</t>
        </is>
      </c>
      <c r="E77" s="24" t="n">
        <v>14</v>
      </c>
      <c r="F77" s="24" t="n">
        <v>12</v>
      </c>
      <c r="G77" s="24" t="n">
        <v>0</v>
      </c>
      <c r="H77" s="16" t="inlineStr">
        <is>
          <t>3 müşteriden en az 1'i yazılı onay verir ve ilk ay ödemesini yapar</t>
        </is>
      </c>
      <c r="I77" s="16" t="inlineStr">
        <is>
          <t>3 müşteri de 14 günde fiyatı reddeder ya da yanıt vermez</t>
        </is>
      </c>
      <c r="J77" s="16" t="inlineStr">
        <is>
          <t>Şablon setini genişlet; ikinci ve üçüncü müşteriye sat</t>
        </is>
      </c>
    </row>
    <row r="78">
      <c r="A78" s="7" t="str">
        <f>Secenekler!A78</f>
        <v>banner-post-c</v>
      </c>
      <c r="B78" s="7" t="str">
        <f>Secenekler!C78</f>
        <v>Ajanslara toplu banner paketi (CSV)</v>
      </c>
      <c r="C78" s="16" t="inlineStr">
        <is>
          <t>Bir ajans, tek briefin varyantları için tek seferlik ücret öder</t>
        </is>
      </c>
      <c r="D78" s="16" t="inlineStr">
        <is>
          <t>Tek izinli marka seç; 10 görsel x 3 boyut örnek paketi hazırla; kabul, tekrar talebi ve ret nedenini kaydet</t>
        </is>
      </c>
      <c r="E78" s="24" t="n">
        <v>7</v>
      </c>
      <c r="F78" s="24" t="n">
        <v>20</v>
      </c>
      <c r="G78" s="24" t="n">
        <v>0</v>
      </c>
      <c r="H78" s="16" t="inlineStr">
        <is>
          <t>Ajans paketi kullanır ve ikinci bir brief ya da ödeme ister</t>
        </is>
      </c>
      <c r="I78" s="16" t="inlineStr">
        <is>
          <t>Üç ajanstan hiçbiri ödeme ya da ikinci brief talep etmez</t>
        </is>
      </c>
      <c r="J78" s="16" t="inlineStr">
        <is>
          <t>CSV toplu üretim betiğini yaz; abonelik ancak tekrar görülürse</t>
        </is>
      </c>
    </row>
    <row r="79">
      <c r="A79" s="7" t="str">
        <f>Secenekler!A79</f>
        <v>karar-sihirbazi-a</v>
      </c>
      <c r="B79" s="7" t="str">
        <f>Secenekler!C79</f>
        <v>Ajanslara white-label keşif sihirbazı aboneliği</v>
      </c>
      <c r="C79" s="16" t="inlineStr">
        <is>
          <t>Küçük ajanslar teklif süresini kısaltan keşif formu için ayda 490 ₺ öder</t>
        </is>
      </c>
      <c r="D79" s="16" t="inlineStr">
        <is>
          <t>Dahili sürümde 10 gerçek keşif yap, teklif süresini öncesi/sonrası ölç; 3 tanıdık ajansa 90 günlük pilot (kurulum bedava, 490 ₺/ay) ve ödeme isteği sun</t>
        </is>
      </c>
      <c r="E79" s="24" t="n">
        <v>90</v>
      </c>
      <c r="F79" s="24" t="n">
        <v>120</v>
      </c>
      <c r="G79" s="24" t="n">
        <v>3600</v>
      </c>
      <c r="H79" s="16" t="inlineStr">
        <is>
          <t>3 pilottan en az 2 ödeme ve teklif süresinde en az %50 kısalma</t>
        </is>
      </c>
      <c r="I79" s="16" t="inlineStr">
        <is>
          <t>90. günde en çok 1 ödeme: abonelik kapatılır, yalnız dahili araç kalır</t>
        </is>
      </c>
      <c r="J79" s="16" t="inlineStr">
        <is>
          <t>Çok kiracılı panel, abonelik tahsilatı, webhook ve 8 ödeyen ajansa ulaşma</t>
        </is>
      </c>
    </row>
    <row r="80">
      <c r="A80" s="7" t="str">
        <f>Secenekler!A80</f>
        <v>karar-sihirbazi-b</v>
      </c>
      <c r="B80" s="7" t="str">
        <f>Secenekler!C80</f>
        <v>Proje başı stack karar dosyası (sabit kapsamlı hizmet)</v>
      </c>
      <c r="C80" s="16" t="inlineStr">
        <is>
          <t>Ajanslar, tek projelik gerekçeli stack kararı için ön ödemesiz de olsa 6.000 ₺ öder</t>
        </is>
      </c>
      <c r="D80" s="16" t="inlineStr">
        <is>
          <t>7 günde kurucunun bir projesi için örnek dosya üret; izinli anonim örnekle 10 ajans sahibine yaz, 3 demo yap, 2 ücretli teklif ver; ödemeyi kabule bağla</t>
        </is>
      </c>
      <c r="E80" s="24" t="n">
        <v>30</v>
      </c>
      <c r="F80" s="24" t="n">
        <v>30</v>
      </c>
      <c r="G80" s="24" t="n">
        <v>600</v>
      </c>
      <c r="H80" s="16" t="inlineStr">
        <is>
          <t>30 günde en az 1 ödenen dosya ve alıcıdan ikinci proje talebi</t>
        </is>
      </c>
      <c r="I80" s="16" t="inlineStr">
        <is>
          <t>10 temas ve 3 demodan sonra ücretli teklif yok: hizmet bırakılır</t>
        </is>
      </c>
      <c r="J80" s="16" t="inlineStr">
        <is>
          <t>Aynı alıcıdan tekrar talep gelirse aylık karar dosyası paketi; sonra uyarlama kiti</t>
        </is>
      </c>
    </row>
    <row r="81">
      <c r="A81" s="7" t="str">
        <f>Secenekler!A81</f>
        <v>karar-sihirbazi-c</v>
      </c>
      <c r="B81" s="7" t="str">
        <f>Secenekler!C81</f>
        <v>Ajans için uyarlanmış keşif formu kiti (tek seferlik)</v>
      </c>
      <c r="C81" s="16" t="inlineStr">
        <is>
          <t>Ajanslar ücretsiz açık motor varken uyarlanmış hazır kit için 5.000 ₺ öder</t>
        </is>
      </c>
      <c r="D81" s="16" t="inlineStr">
        <is>
          <t>Soru bankasını çevir, 2 profilli statik kiti kendi sayfana göm; 10 ajans sahibine canlı örnekle yaz, 3 demo yap, 2 ücretli kit teklifi ver</t>
        </is>
      </c>
      <c r="E81" s="24" t="n">
        <v>45</v>
      </c>
      <c r="F81" s="24" t="n">
        <v>70</v>
      </c>
      <c r="G81" s="24" t="n">
        <v>600</v>
      </c>
      <c r="H81" s="16" t="inlineStr">
        <is>
          <t>45 günde en az 1 ödenen kit ve alıcıdan ek profil ya da destek talebi</t>
        </is>
      </c>
      <c r="I81" s="16" t="inlineStr">
        <is>
          <t>10 temas ve 3 demodan sonra ücretli teklif yok: kit açık kaynak olarak bırakılır</t>
        </is>
      </c>
      <c r="J81" s="16" t="inlineStr">
        <is>
          <t>Alıcı aylık güncelleme isterse PDF ve panelli abonelik (seçenek A)</t>
        </is>
      </c>
    </row>
    <row r="82">
      <c r="A82" s="7" t="str">
        <f>Secenekler!A82</f>
        <v>sunum-bi-hizmeti-a</v>
      </c>
      <c r="B82" s="7" t="str">
        <f>Secenekler!C82</f>
        <v>Katalogdan toplu markalı sunum seti (sabit paket)</v>
      </c>
      <c r="C82" s="16" t="inlineStr">
        <is>
          <t>Kataloglu işletme sahipleri 3 slaytlık ücretsiz örneği görünce 15.000 ₺ katalog paketi için peşin ödemeyi kabul eder</t>
        </is>
      </c>
      <c r="D82" s="16" t="inlineStr">
        <is>
          <t>Yazılı izin ya da sıfırdan çekirdekle demo marka yap; 8 mevcut ilişkiye logo ve bir ürünle örnek gönder; 3 teklif PDF'i ve havale talimatı hazırla</t>
        </is>
      </c>
      <c r="E82" s="24" t="n">
        <v>21</v>
      </c>
      <c r="F82" s="24" t="n">
        <v>40</v>
      </c>
      <c r="G82" s="24" t="n">
        <v>1000</v>
      </c>
      <c r="H82" s="16" t="inlineStr">
        <is>
          <t>8 örnekten en az 3 teklif talebi ve en az 1 yazılı onay ya da peşin ödeme</t>
        </is>
      </c>
      <c r="I82" s="16" t="inlineStr">
        <is>
          <t>21 günde 0 teklif talebi ya da yazılı izin ve sıfırdan yazım yolu kapanırsa dur</t>
        </is>
      </c>
      <c r="J82" s="16" t="inlineStr">
        <is>
          <t>İlk ödeme gelirse 2 set daha ve çeyreklik güncelleme; ardından ajans paketi</t>
        </is>
      </c>
    </row>
    <row r="83">
      <c r="A83" s="7" t="str">
        <f>Secenekler!A83</f>
        <v>sunum-bi-hizmeti-b</v>
      </c>
      <c r="B83" s="7" t="str">
        <f>Secenekler!C83</f>
        <v>Butik ajanslara çok markalı sunum üretim aboneliği</v>
      </c>
      <c r="C83" s="16" t="inlineStr">
        <is>
          <t>Butik ajans sahipleri müşteri sunumlarını katalog ve temadan üretmek için 8.000 ₺ kurulum ve aylık 2.500 ₺ öder</t>
        </is>
      </c>
      <c r="D83" s="16" t="inlineStr">
        <is>
          <t>15 ajans sahibine birebir not; ilgilenene tek müşteriyle ücretsiz pilot; pilot sonunda yazılı kurulum ve abonelik teklifi</t>
        </is>
      </c>
      <c r="E83" s="24" t="n">
        <v>30</v>
      </c>
      <c r="F83" s="24" t="n">
        <v>30</v>
      </c>
      <c r="G83" s="24" t="n">
        <v>500</v>
      </c>
      <c r="H83" s="16" t="inlineStr">
        <is>
          <t>En az 1 ajanstan yazılı abonelik onayı ya da kurulum ücreti ödemesi</t>
        </is>
      </c>
      <c r="I83" s="16" t="inlineStr">
        <is>
          <t>30 günde 15 temastan hiç pilot kabulü yoksa dur</t>
        </is>
      </c>
      <c r="J83" s="16" t="inlineStr">
        <is>
          <t>İlk ajans ödemesinde çok marka deposu ve üretim kuyruğu; ikinci ajansla çoğalt</t>
        </is>
      </c>
    </row>
    <row r="84">
      <c r="A84" s="7" t="str">
        <f>Secenekler!A84</f>
        <v>sunum-bi-hizmeti-c</v>
      </c>
      <c r="B84" s="7" t="str">
        <f>Secenekler!C84</f>
        <v>Danışmana tek kaynaktan yönetici karar dosyası üretimi</v>
      </c>
      <c r="C84" s="16" t="inlineStr">
        <is>
          <t>Danışmanlar müşteri raporu için tek kaynaktan yönetici karar dosyası üretimine 8.000 ₺ öder ve aynı işi tekrar ister</t>
        </is>
      </c>
      <c r="D84" s="16" t="inlineStr">
        <is>
          <t>Kurgusal veriyle aynı sunumu iki kez üret; 10 danışmanla görüşüp en çok tekrar düzenlenen 3 slaytı öğren; 3 kişiye ücretsiz 1 slayt örneği gönder</t>
        </is>
      </c>
      <c r="E84" s="24" t="n">
        <v>14</v>
      </c>
      <c r="F84" s="24" t="n">
        <v>25</v>
      </c>
      <c r="G84" s="24" t="n">
        <v>0</v>
      </c>
      <c r="H84" s="16" t="inlineStr">
        <is>
          <t>10 görüşmeden en az 2 ücretli teklif talebi ve 1 yazılı fiyat onayı</t>
        </is>
      </c>
      <c r="I84" s="16" t="inlineStr">
        <is>
          <t>14 günde 10 görüşmeden hiç teklif talebi çıkmazsa dur</t>
        </is>
      </c>
      <c r="J84" s="16" t="inlineStr">
        <is>
          <t>İlk ödemeden sonra aynı müşteriye tekrar üretim sat; tekrar yoksa abonelik açma</t>
        </is>
      </c>
    </row>
    <row r="85">
      <c r="A85" s="7" t="str">
        <f>Secenekler!A85</f>
        <v>ik-paneli-hizmeti-a</v>
      </c>
      <c r="B85" s="7" t="str">
        <f>Secenekler!C85</f>
        <v>SaaS satış demosu 7 günde (sabit paket)</v>
      </c>
      <c r="C85" s="16" t="inlineStr">
        <is>
          <t>Kurucu ve ajanslar yatırım görüşmesi öncesi demo için sabit fiyatla peşin ödeme yapar</t>
        </is>
      </c>
      <c r="D85" s="16" t="inlineStr">
        <is>
          <t>Bir markasız vitrin demo yap; 40 elle yazılmış mesaj ve 10 mevcut ilişki araması; ücretsiz tek ekranlık örnek sun; Lite teklifi gönder</t>
        </is>
      </c>
      <c r="E85" s="24" t="n">
        <v>30</v>
      </c>
      <c r="F85" s="24" t="n">
        <v>40</v>
      </c>
      <c r="G85" s="24" t="n">
        <v>2000</v>
      </c>
      <c r="H85" s="16" t="inlineStr">
        <is>
          <t>En az 3 keşif görüşmesi ve 1 ücretli peşinat (Lite ya da üstü)</t>
        </is>
      </c>
      <c r="I85" s="16" t="inlineStr">
        <is>
          <t>40 mesaj ve 10 aramadan 0 keşif ya da 3 teklifte 0 peşinat</t>
        </is>
      </c>
      <c r="J85" s="16" t="inlineStr">
        <is>
          <t>Pro paketi ve ajanslara ayda 1 demo beyaz etiket teklifi</t>
        </is>
      </c>
    </row>
    <row r="86">
      <c r="A86" s="7" t="str">
        <f>Secenekler!A86</f>
        <v>ik-paneli-hizmeti-b</v>
      </c>
      <c r="B86" s="7" t="str">
        <f>Secenekler!C86</f>
        <v>Ajanslara beyaz etiket aylık demo paketi</v>
      </c>
      <c r="C86" s="16" t="inlineStr">
        <is>
          <t>Ajanslar teklif başına canlı demo için ayda 1 taahhütle ödeme yapar</t>
        </is>
      </c>
      <c r="D86" s="16" t="inlineStr">
        <is>
          <t>5 ajansa 'ilk demoda %20 indirim, ajans adıyla' teklifini elle gönder; kabul edene ücretli deneme demosu hazırla</t>
        </is>
      </c>
      <c r="E86" s="24" t="n">
        <v>30</v>
      </c>
      <c r="F86" s="24" t="n">
        <v>30</v>
      </c>
      <c r="G86" s="24" t="n">
        <v>1000</v>
      </c>
      <c r="H86" s="16" t="inlineStr">
        <is>
          <t>20 görüşmeden en az 2 ajans deneme ister, 1 ajans ödeme yapar</t>
        </is>
      </c>
      <c r="I86" s="16" t="inlineStr">
        <is>
          <t>20 ajans mesajından 0 yanıt ya da 3 deneme görüşmesinde 0 peşinat</t>
        </is>
      </c>
      <c r="J86" s="16" t="inlineStr">
        <is>
          <t>Ajansın müşterisi için ikinci demo ve yıllık ajans anlaşması</t>
        </is>
      </c>
    </row>
    <row r="87">
      <c r="A87" s="7" t="str">
        <f>Secenekler!A87</f>
        <v>ik-paneli-hizmeti-c</v>
      </c>
      <c r="B87" s="7" t="str">
        <f>Secenekler!C87</f>
        <v>Puantaj mutabakatı kurulum ve dönem hizmeti</v>
      </c>
      <c r="C87" s="16" t="inlineStr">
        <is>
          <t>Bordro ofisi ve işletme, tek format puantaj istisna çıktısı için aylık ödeme yapar</t>
        </is>
      </c>
      <c r="D87" s="16" t="inlineStr">
        <is>
          <t>Sentetik gece vardiyası verisiyle ücretsiz CSV denetleyici yayımla; 2 danışman ofisine pilot ve 3 PDKS entegratörüne format görüşmesi iste</t>
        </is>
      </c>
      <c r="E87" s="24" t="n">
        <v>30</v>
      </c>
      <c r="F87" s="24" t="n">
        <v>30</v>
      </c>
      <c r="G87" s="24" t="n">
        <v>500</v>
      </c>
      <c r="H87" s="16" t="inlineStr">
        <is>
          <t>En az 1 ofis kendi gerçek dışa aktarım biçimini paylaşır ve ücretli pilot kurulumunu kabul eder</t>
        </is>
      </c>
      <c r="I87" s="16" t="inlineStr">
        <is>
          <t>5 ofis ve entegratör görüşmesinden 0 gerçek biçim paylaşımı ya da sorun Excel ile zaten çözülmüş</t>
        </is>
      </c>
      <c r="J87" s="16" t="inlineStr">
        <is>
          <t>İkinci dönem kapanışı ve aynı ofisin ikinci müşterisi</t>
        </is>
      </c>
    </row>
    <row r="88">
      <c r="A88" s="7" t="str">
        <f>Secenekler!A88</f>
        <v>ddd-renderer-a</v>
      </c>
      <c r="B88" s="7" t="str">
        <f>Secenekler!C88</f>
        <v>E-kitap eki: 3 mimari şablonlu paket (149 ₺)</v>
      </c>
      <c r="C88" s="16" t="inlineStr">
        <is>
          <t>E-kitap okuyucuları ve kurucunun ağı 3 şablonluk paketi 149 ₺'ye satın alır.</t>
        </is>
      </c>
      <c r="D88" s="16" t="inlineStr">
        <is>
          <t>Ücretsiz starter JSON ve 149 ₺ ön sipariş sayfasını yayımla; izinli listeye ve LinkedIn ağına duyur; indirme ve ön ödemeleri say.</t>
        </is>
      </c>
      <c r="E88" s="24" t="n">
        <v>14</v>
      </c>
      <c r="F88" s="24" t="n">
        <v>12</v>
      </c>
      <c r="G88" s="24" t="n">
        <v>600</v>
      </c>
      <c r="H88" s="16" t="inlineStr">
        <is>
          <t>14 günde en az 5 ön ödeme ve 100 starter indirme</t>
        </is>
      </c>
      <c r="I88" s="16" t="inlineStr">
        <is>
          <t>14 günde 0 ön ödeme ve 30'dan az starter indirme</t>
        </is>
      </c>
      <c r="J88" s="16" t="inlineStr">
        <is>
          <t>Başarılıysa 3 şablonu bitir ve e-kitap ekine bağla; değilse şablonlar e-kitap bonusu kalır.</t>
        </is>
      </c>
    </row>
    <row r="89">
      <c r="A89" s="7" t="str">
        <f>Secenekler!A89</f>
        <v>ddd-renderer-b</v>
      </c>
      <c r="B89" s="7" t="str">
        <f>Secenekler!C89</f>
        <v>Uluslararası şablon paketleri (29-79 $) açık çekirdekle</v>
      </c>
      <c r="C89" s="16" t="inlineStr">
        <is>
          <t>Yurt dışı teknik liderler ve mimarlar, ücretsiz Structurizr ve LikeC4 varken 29-79 $ şablon paketi alır.</t>
        </is>
      </c>
      <c r="D89" s="16" t="inlineStr">
        <is>
          <t>Starter JSON ve canlı örnek siteyi yayımla; makale ve LinkedIn serisiyle yönlendir; 29 $ ön sipariş bağlantısı koy; indirme ve ön ödemeleri say.</t>
        </is>
      </c>
      <c r="E89" s="24" t="n">
        <v>21</v>
      </c>
      <c r="F89" s="24" t="n">
        <v>25</v>
      </c>
      <c r="G89" s="24" t="n">
        <v>600</v>
      </c>
      <c r="H89" s="16" t="inlineStr">
        <is>
          <t>21 günde en az 3 ön ödeme ve 100 starter indirme</t>
        </is>
      </c>
      <c r="I89" s="16" t="inlineStr">
        <is>
          <t>21 günde 0 ön ödeme ve 40'tan az starter indirme</t>
        </is>
      </c>
      <c r="J89" s="16" t="inlineStr">
        <is>
          <t>Başarılıysa demeti tamamla ve CLI kapısına git; değilse şablonları seçenek A'ya ya da e-kitap bonusuna kat.</t>
        </is>
      </c>
    </row>
    <row r="90">
      <c r="A90" s="7" t="str">
        <f>Secenekler!A90</f>
        <v>ddd-renderer-c</v>
      </c>
      <c r="B90" s="7" t="str">
        <f>Secenekler!C90</f>
        <v>3 günlük sabit kapsamlı mimari değerlendirme hizmeti</v>
      </c>
      <c r="C90" s="16" t="inlineStr">
        <is>
          <t>Teknik liderler mimari modelleme hizmetine 50.000 ₺ öder ve güvenip sistem bilgisini paylaşır.</t>
        </is>
      </c>
      <c r="D90" s="16" t="inlineStr">
        <is>
          <t>Kurucunun kendi ürününde değerlendirmeyi yap, anonim rapor yayımla; 10 teknik lidere 20 dakikalık demo ve sabit fiyat teklifi gönder.</t>
        </is>
      </c>
      <c r="E90" s="24" t="n">
        <v>30</v>
      </c>
      <c r="F90" s="24" t="n">
        <v>40</v>
      </c>
      <c r="G90" s="24" t="n">
        <v>300</v>
      </c>
      <c r="H90" s="16" t="inlineStr">
        <is>
          <t>30 günde 10 demodan en az 3 yazılı teklif talebi ve 1 ön ödeme ya da imzalı sözleşme</t>
        </is>
      </c>
      <c r="I90" s="16" t="inlineStr">
        <is>
          <t>10 demoda 0 teklif talebi ya da fiyat itirazıyla tamamı elenirse</t>
        </is>
      </c>
      <c r="J90" s="16" t="inlineStr">
        <is>
          <t>Başarılıysa fiyatı ve kapsamı sabitle, şablonları bu hizmetin ekine bağla; değilse seçenek A'ya dön.</t>
        </is>
      </c>
    </row>
    <row r="91">
      <c r="A91" s="7" t="str">
        <f>Secenekler!A91</f>
        <v>devpanel-a</v>
      </c>
      <c r="B91" s="7" t="str">
        <f>Secenekler!C91</f>
        <v>3 günlük onay, denetim ve yetki entegrasyon paketi</v>
      </c>
      <c r="C91" s="16" t="inlineStr">
        <is>
          <t>Bir geliştirici ekibi, açık kaynak desenlerin varlığına rağmen entegrasyon için 36.000 ₺ öder</t>
        </is>
      </c>
      <c r="D91" s="16" t="inlineStr">
        <is>
          <t>20 hedef kişiye tek tek mesaj, 3 görüşme, görüşmede demo ve yazılı 1 sayfalık kapsam ve fiyat teklifi</t>
        </is>
      </c>
      <c r="E91" s="24" t="n">
        <v>14</v>
      </c>
      <c r="F91" s="24" t="n">
        <v>12</v>
      </c>
      <c r="G91" s="24" t="n">
        <v>0</v>
      </c>
      <c r="H91" s="16" t="inlineStr">
        <is>
          <t>En az 3 görüşme ve 1 yazılı niyet, ön ödeme ya da ücretli pilot kabulü</t>
        </is>
      </c>
      <c r="I91" s="16" t="inlineStr">
        <is>
          <t>20 mesajdan sonra 0 görüşme ya da fiyat konuşulduğunda hiç ilgi yok</t>
        </is>
      </c>
      <c r="J91" s="16" t="inlineStr">
        <is>
          <t>Başarılıysa 3 desenli paketi npm ve Storybook ile yayımla; ikinci müşteride aynı paketi tekrarla</t>
        </is>
      </c>
    </row>
    <row r="92">
      <c r="A92" s="7" t="str">
        <f>Secenekler!A92</f>
        <v>devpanel-b</v>
      </c>
      <c r="B92" s="7" t="str">
        <f>Secenekler!C92</f>
        <v>20 alanlı form şemasından JSON ve React dışa aktarım işi</v>
      </c>
      <c r="C92" s="16" t="inlineStr">
        <is>
          <t>Ajans frontend liderleri, form dışa aktarımı için ücretsiz form kütüphaneleri varken para öder</t>
        </is>
      </c>
      <c r="D92" s="16" t="inlineStr">
        <is>
          <t>3 alanlı koşullu form demosu yayımla, 10 kişiye 20 alanlı örneğin dışa aktarımını göster, fiyatlı teklif sun</t>
        </is>
      </c>
      <c r="E92" s="24" t="n">
        <v>21</v>
      </c>
      <c r="F92" s="24" t="n">
        <v>20</v>
      </c>
      <c r="G92" s="24" t="n">
        <v>0</v>
      </c>
      <c r="H92" s="16" t="inlineStr">
        <is>
          <t>En az 2 kişi kendi formunu isteyip fiyatı kabul eder ya da ön ödeme yapar</t>
        </is>
      </c>
      <c r="I92" s="16" t="inlineStr">
        <is>
          <t>10 gösterimden sonra 0 fiyat kabulü; ücretsiz kütüphane yeterli bulunuyor</t>
        </is>
      </c>
      <c r="J92" s="16" t="inlineStr">
        <is>
          <t>Tek müşteri başarılıysa küratörlü şablon paketi; yoksa seçenek bırakılır</t>
        </is>
      </c>
    </row>
    <row r="93">
      <c r="A93" s="7" t="str">
        <f>Secenekler!A93</f>
        <v>devpanel-c</v>
      </c>
      <c r="B93" s="7" t="str">
        <f>Secenekler!C93</f>
        <v>Yönetim paneli şablonu, 49 $ lisans</v>
      </c>
      <c r="C93" s="16" t="inlineStr">
        <is>
          <t>Tanınmamış bir satıcının şablonuna geliştiriciler ücretsiz Refine, shadcn ve ücretli Metronic varken 49 $ öder</t>
        </is>
      </c>
      <c r="D93" s="16" t="inlineStr">
        <is>
          <t>Paketlemeden önce 90 saniyelik demo ve ön satış sayfası yayımla; Show HN ve dev.to ile trafik çek, ön sipariş say</t>
        </is>
      </c>
      <c r="E93" s="24" t="n">
        <v>21</v>
      </c>
      <c r="F93" s="24" t="n">
        <v>12</v>
      </c>
      <c r="G93" s="24" t="n">
        <v>0</v>
      </c>
      <c r="H93" s="16" t="inlineStr">
        <is>
          <t>En az 5 ön sipariş ya da ödeme</t>
        </is>
      </c>
      <c r="I93" s="16" t="inlineStr">
        <is>
          <t>21 günde 0 ön sipariş</t>
        </is>
      </c>
      <c r="J93" s="16" t="inlineStr">
        <is>
          <t>Başarılıysa paketleme tamamlanır, uzatılmış lisans eklenir</t>
        </is>
      </c>
    </row>
    <row r="94">
      <c r="A94" s="7" t="str">
        <f>Secenekler!A94</f>
        <v>e-menum-a</v>
      </c>
      <c r="B94" s="7" t="str">
        <f>Secenekler!C94</f>
        <v>Tek kiracılı white-label kurulum paketi</v>
      </c>
      <c r="C94" s="16" t="inlineStr">
        <is>
          <t>Django bilen bir geliştirici ya da ajans, çalışan çekirdeği ve 20 saat uyarlamayı 25.000 TL'ye ön ödemeyle alır</t>
        </is>
      </c>
      <c r="D94" s="16" t="inlineStr">
        <is>
          <t>40 ajans ve geliştirici listesi çıkar, her haftaya 10 kişisel mesaj, topluluklara 2 gönderi, 12 demo görüşmesi; kapsam belgesi ile %50 ön ödeme iste</t>
        </is>
      </c>
      <c r="E94" s="24" t="n">
        <v>90</v>
      </c>
      <c r="F94" s="24" t="n">
        <v>110</v>
      </c>
      <c r="G94" s="24" t="n">
        <v>8000</v>
      </c>
      <c r="H94" s="16" t="inlineStr">
        <is>
          <t>90 günde en az 12 görüşme ve 1 imzalı kapsam belgesi ya da ön ödeme</t>
        </is>
      </c>
      <c r="I94" s="16" t="inlineStr">
        <is>
          <t>12 görüşmede hiç teklif yoksa seçenek kapatılır</t>
        </is>
      </c>
      <c r="J94" s="16" t="inlineStr">
        <is>
          <t>Ödeme modülünü ve kurulum betiğini ortak ürün yap; ikinci ajans kurulumu ve bakım yenilemesi</t>
        </is>
      </c>
    </row>
    <row r="95">
      <c r="A95" s="7" t="str">
        <f>Secenekler!A95</f>
        <v>e-menum-b</v>
      </c>
      <c r="B95" s="7" t="str">
        <f>Secenekler!C95</f>
        <v>Çok şubeli markaya yönetilen menü güncelleme hizmeti</v>
      </c>
      <c r="C95" s="16" t="inlineStr">
        <is>
          <t>İki-on şubeli bir marka, elle yönetilen onaylı menü yayınına aylık ücret öder</t>
        </is>
      </c>
      <c r="D95" s="16" t="inlineStr">
        <is>
          <t>20 marka listesi, yapay restoranla demo, 3 markada ücretsiz ilk değişiklik; sonra aylık teklif ve ilk fatura</t>
        </is>
      </c>
      <c r="E95" s="24" t="n">
        <v>60</v>
      </c>
      <c r="F95" s="24" t="n">
        <v>40</v>
      </c>
      <c r="G95" s="24" t="n">
        <v>3000</v>
      </c>
      <c r="H95" s="16" t="inlineStr">
        <is>
          <t>60 günde 1 marka ücretli aylık hizmet sözleşmesi ya da ön ödeme</t>
        </is>
      </c>
      <c r="I95" s="16" t="inlineStr">
        <is>
          <t>60 günde ilgi yoksa ya da destek 60 dakikayı aşıyorsa fiyat ve kapsam değiştirilir, aksi halde kapatılır</t>
        </is>
      </c>
      <c r="J95" s="16" t="inlineStr">
        <is>
          <t>Şube izolasyonu, değişiklik kaydı ve onay akışını ürünleştir; 5 şubeli ikinci marka</t>
        </is>
      </c>
    </row>
    <row r="96">
      <c r="A96" s="7" t="str">
        <f>Secenekler!A96</f>
        <v>e-menum-c</v>
      </c>
      <c r="B96" s="7" t="str">
        <f>Secenekler!C96</f>
        <v>Kaynak kod ve belge paketi (depo ve topluluk)</v>
      </c>
      <c r="C96" s="16" t="inlineStr">
        <is>
          <t>Pazar yerinde ya da depoda Türkçe iş kurallı Django QR menü kodunu 89 USD'ye alacak geliştirici var</t>
        </is>
      </c>
      <c r="D96" s="16" t="inlineStr">
        <is>
          <t>Temiz kod, kilavuz ve demo ile depo README'sini ac, Telegram'a izinli bir gonderi; 90 gunde satis say; CodeCanyon yalniz sonucsuzsa</t>
        </is>
      </c>
      <c r="E96" s="24" t="n">
        <v>90</v>
      </c>
      <c r="F96" s="24" t="n">
        <v>50</v>
      </c>
      <c r="G96" s="24" t="n">
        <v>500</v>
      </c>
      <c r="H96" s="16" t="inlineStr">
        <is>
          <t>90 günde en az 2 ödeme</t>
        </is>
      </c>
      <c r="I96" s="16" t="inlineStr">
        <is>
          <t>90 günde ödeme yoksa listeyi kapat, kurulum paketine odaklan</t>
        </is>
      </c>
      <c r="J96" s="16" t="inlineStr">
        <is>
          <t>Alıcılardan ücretli uyarlama ya da kurulum talebi topla ve A seçeneğine yönlendir</t>
        </is>
      </c>
    </row>
    <row r="97">
      <c r="A97" s="7" t="str">
        <f>Secenekler!A97</f>
        <v>eklenti-firsat-panosu-a</v>
      </c>
      <c r="B97" s="7" t="str">
        <f>Secenekler!C97</f>
        <v>Bülten Pro: aylık eklenti fırsat bülteni</v>
      </c>
      <c r="C97" s="16" t="inlineStr">
        <is>
          <t>Türkiye'deki solo eklenti geliştiricisi aylık 399 TL'yi kaynaklı fırsat kartları için öder</t>
        </is>
      </c>
      <c r="D97" s="16" t="inlineStr">
        <is>
          <t>Panoyu yayınla, ilk sayıyı ücretsiz yolla, 3. sayıda ücretli bölümü 399 TL ile ön satışa aç; 10-15 kişilik çevreyi elle davet et.</t>
        </is>
      </c>
      <c r="E97" s="24" t="n">
        <v>60</v>
      </c>
      <c r="F97" s="24" t="n">
        <v>40</v>
      </c>
      <c r="G97" s="24" t="n">
        <v>6000</v>
      </c>
      <c r="H97" s="16" t="inlineStr">
        <is>
          <t>60 günde 300 ücretsiz abone ve en az 5 ücretli abone</t>
        </is>
      </c>
      <c r="I97" s="16" t="inlineStr">
        <is>
          <t>60 günde 150 abone altı ve 0 ücretli; bülten dahili araştırma defterine döner</t>
        </is>
      </c>
      <c r="J97" s="16" t="inlineStr">
        <is>
          <t>Kapıyı geçerse İngilizce sürüm ve ajans lisansı pilotu</t>
        </is>
      </c>
    </row>
    <row r="98">
      <c r="A98" s="7" t="str">
        <f>Secenekler!A98</f>
        <v>eklenti-firsat-panosu-b</v>
      </c>
      <c r="B98" s="7" t="str">
        <f>Secenekler!C98</f>
        <v>Keşif Paketi: tek seferlik eklenti fırsat seti</v>
      </c>
      <c r="C98" s="16" t="inlineStr">
        <is>
          <t>Geliştirici ücretsiz panoyu gördükten sonra paketi 349 TL'ye satın alır</t>
        </is>
      </c>
      <c r="D98" s="16" t="inlineStr">
        <is>
          <t>Panoyu yayınla, paket sayfasını aç, ilk 30 gün çevreyi ve LinkedIn'i kullan; paket sayfası ziyaretini ve satın almayı say.</t>
        </is>
      </c>
      <c r="E98" s="24" t="n">
        <v>45</v>
      </c>
      <c r="F98" s="24" t="n">
        <v>20</v>
      </c>
      <c r="G98" s="24" t="n">
        <v>3000</v>
      </c>
      <c r="H98" s="16" t="inlineStr">
        <is>
          <t>45 günde en az 5 ödeme</t>
        </is>
      </c>
      <c r="I98" s="16" t="inlineStr">
        <is>
          <t>45 günde 0 ödeme ve 500 pano ziyaretinin altı; paket ücretsiz lead magnet olur</t>
        </is>
      </c>
      <c r="J98" s="16" t="inlineStr">
        <is>
          <t>Satış varsa bülten ücretli bölümünü aç</t>
        </is>
      </c>
    </row>
    <row r="99">
      <c r="A99" s="7" t="str">
        <f>Secenekler!A99</f>
        <v>eklenti-firsat-panosu-c</v>
      </c>
      <c r="B99" s="7" t="str">
        <f>Secenekler!C99</f>
        <v>Ajans lisansı: ürün hattı fırsat paketi</v>
      </c>
      <c r="C99" s="16" t="inlineStr">
        <is>
          <t>Küçük ajans kurucusu yıllık yaklaşık 14 bin TL'yi puanlı fırsat listesi ve 3 koltuk için peşin öder</t>
        </is>
      </c>
      <c r="D99" s="16" t="inlineStr">
        <is>
          <t>20 ajansı ismen listele, 10'una kişisel mesaj at, 20 dakikalık görüşmede ajansın bir fikrini çerçeveyle puanla, teklifi yazılı sun.</t>
        </is>
      </c>
      <c r="E99" s="24" t="n">
        <v>30</v>
      </c>
      <c r="F99" s="24" t="n">
        <v>14</v>
      </c>
      <c r="G99" s="24" t="n">
        <v>0</v>
      </c>
      <c r="H99" s="16" t="inlineStr">
        <is>
          <t>10 mesajdan en az 2 görüşme ve 1 yazılı fiyat teklifi yanıtı</t>
        </is>
      </c>
      <c r="I99" s="16" t="inlineStr">
        <is>
          <t>10 mesajdan 0 görüşme ya da 3 görüşmede sıfır fiyat ilgisi</t>
        </is>
      </c>
      <c r="J99" s="16" t="inlineStr">
        <is>
          <t>İlgi varsa 3 ajansla ücretli pilot; yoksa ajans lisansını bırak</t>
        </is>
      </c>
    </row>
    <row r="100">
      <c r="A100" s="7" t="str">
        <f>Secenekler!A100</f>
        <v>cok-dilli-arayuz-a</v>
      </c>
      <c r="B100" s="7" t="str">
        <f>Secenekler!C100</f>
        <v>Çok dilli site denetimi: sabit fiyatlı paket</v>
      </c>
      <c r="C100" s="16" t="inlineStr">
        <is>
          <t>Mevcut site müşterileri ve ajanslar, çeviri sonrası hataları önlemek için 7.500 ₺ sabit denetimi ek kalem olarak satın alır.</t>
        </is>
      </c>
      <c r="D100" s="16" t="inlineStr">
        <is>
          <t>3 mevcut müşteriye 1 sayfalık teklif; 3 ücretsiz 1 ekranlık mini denetim; ilgilenenlere Temel paket teklifi; yanıtları ve itirazları kaydet.</t>
        </is>
      </c>
      <c r="E100" s="24" t="n">
        <v>21</v>
      </c>
      <c r="F100" s="24" t="n">
        <v>20</v>
      </c>
      <c r="G100" s="24" t="n">
        <v>0</v>
      </c>
      <c r="H100" s="16" t="inlineStr">
        <is>
          <t>21 günde en az 1 ödeme ya da imzalı kabul; 3 teklifin en az 2'sinde fiyat konuşulmuş olması</t>
        </is>
      </c>
      <c r="I100" s="16" t="inlineStr">
        <is>
          <t>3 teklif ve 3 mini denetimde hiç yazılı niyet yok ya da fiyat itirazı 2'den fazla kişide aynı</t>
        </is>
      </c>
      <c r="J100" s="16" t="inlineStr">
        <is>
          <t>İlk ödeme gelirse vaka yazısı ve ajans ortak paketi; Kapsamlı 15.000 ₺ paketi.</t>
        </is>
      </c>
    </row>
    <row r="101">
      <c r="A101" s="7" t="str">
        <f>Secenekler!A101</f>
        <v>cok-dilli-arayuz-b</v>
      </c>
      <c r="B101" s="7" t="str">
        <f>Secenekler!C101</f>
        <v>Kontrol listesi PDF ve ücretsiz Atlas modülü</v>
      </c>
      <c r="C101" s="16" t="inlineStr">
        <is>
          <t>Atlas okurları ücretsiz derse ek olarak 299 ₺'lik Türkçe kontrol listesi satın alır.</t>
        </is>
      </c>
      <c r="D101" s="16" t="inlineStr">
        <is>
          <t>Atlas'a 4 ders ve PDF örnek bölümü koy; Shopier'da ön satış sayfası aç; ziyaret ve satın alma sayısını Umami ile ölç.</t>
        </is>
      </c>
      <c r="E101" s="24" t="n">
        <v>30</v>
      </c>
      <c r="F101" s="24" t="n">
        <v>30</v>
      </c>
      <c r="G101" s="24" t="n">
        <v>500</v>
      </c>
      <c r="H101" s="16" t="inlineStr">
        <is>
          <t>30 günde en az 10 ödeme; ziyaretçi dönüşümü %0,5 ve üzeri</t>
        </is>
      </c>
      <c r="I101" s="16" t="inlineStr">
        <is>
          <t>1.000 ziyarete rağmen 3'ten az ödeme ya da satış sayfasından satın almaya 0 tıklama</t>
        </is>
      </c>
      <c r="J101" s="16" t="inlineStr">
        <is>
          <t>İngilizce sürüm ve PDF alıcılarına mini denetim önerisi.</t>
        </is>
      </c>
    </row>
    <row r="102">
      <c r="A102" s="7" t="str">
        <f>Secenekler!A102</f>
        <v>cok-dilli-arayuz-c</v>
      </c>
      <c r="B102" s="7" t="str">
        <f>Secenekler!C102</f>
        <v>SaaS ekibine ücretli pilot: yerelleştirme QA kapısı</v>
      </c>
      <c r="C102" s="16" t="inlineStr">
        <is>
          <t>SaaS ekipleri ücretsiz Playwright, Storybook ve elle pseudo-locale yerine ücretli kaynak konumlu QA pilotu satın alır.</t>
        </is>
      </c>
      <c r="D102" s="16" t="inlineStr">
        <is>
          <t>20 ekibe tekil mesaj ve ücretsiz 1 ekranlık mini denetim; ilgilenene tek akışta pilot teklifi; ilk hata raporu ve itirazlar kaydedilir.</t>
        </is>
      </c>
      <c r="E102" s="24" t="n">
        <v>45</v>
      </c>
      <c r="F102" s="24" t="n">
        <v>40</v>
      </c>
      <c r="G102" s="24" t="n">
        <v>0</v>
      </c>
      <c r="H102" s="16" t="inlineStr">
        <is>
          <t>45 günde 1 ücretli pilot ya da yazılı fiyat niyeti; en az 3 ekipten yanıt</t>
        </is>
      </c>
      <c r="I102" s="16" t="inlineStr">
        <is>
          <t>20 mesajda 3'ten az yanıt ve 0 pilot teklifi; ücretsiz ikame yeterli deniyorsa durdur</t>
        </is>
      </c>
      <c r="J102" s="16" t="inlineStr">
        <is>
          <t>İlk pilot tekrar edilirse tek adapterli aylık ekip desteği ve GitHub Action.</t>
        </is>
      </c>
    </row>
    <row r="103">
      <c r="A103" s="7" t="str">
        <f>Secenekler!A103</f>
        <v>b2b-pazar-yeri-hizmeti-a</v>
      </c>
      <c r="B103" s="7" t="str">
        <f>Secenekler!C103</f>
        <v>Soğuk başlangıç teşhis paketi (2 hafta)</v>
      </c>
      <c r="C103" s="16" t="inlineStr">
        <is>
          <t>Küme yöneticileri yönetim kurulundan 60.000 ₺ teşhis bedelini çıkarabilir ve bunu ajans teklifinden önce öder.</t>
        </is>
      </c>
      <c r="D103" s="16" t="inlineStr">
        <is>
          <t>30 yöneticiye doğrudan temas; 6 keşif görüşmesi; her birine ücretsiz 2 sayfa özet; 3 yazılı teşhis teklifi; ilk peşinatı havaleyle iste.</t>
        </is>
      </c>
      <c r="E103" s="24" t="n">
        <v>45</v>
      </c>
      <c r="F103" s="24" t="n">
        <v>60</v>
      </c>
      <c r="G103" s="24" t="n">
        <v>3000</v>
      </c>
      <c r="H103" s="16" t="inlineStr">
        <is>
          <t>45 günde en az 1 yazılı teklif yanıtı ve 1 peşinat ya da imzalı sözleşme</t>
        </is>
      </c>
      <c r="I103" s="16" t="inlineStr">
        <is>
          <t>6 görüşme ve 3 teklifte 60 günde sıfır imza: fiyatı düşür ya da B seçeneğine geç</t>
        </is>
      </c>
      <c r="J103" s="16" t="inlineStr">
        <is>
          <t>Teşhis teslimi, vaka izni, strateji paketi teklifi ve ajans ortak teklifi</t>
        </is>
      </c>
    </row>
    <row r="104">
      <c r="A104" s="7" t="str">
        <f>Secenekler!A104</f>
        <v>b2b-pazar-yeri-hizmeti-b</v>
      </c>
      <c r="B104" s="7" t="str">
        <f>Secenekler!C104</f>
        <v>Tek kategori talep ve teklif doğrulama raporu</v>
      </c>
      <c r="C104" s="16" t="inlineStr">
        <is>
          <t>Seed girişim kurucusu tek kategori için 20.000 ₺ rapor bedelini öz kaynaktan öder; rapor kararını değiştirir.</t>
        </is>
      </c>
      <c r="D104" s="16" t="inlineStr">
        <is>
          <t>Örnek raporu yayımla; 10 girişimciye ve 5 toptancıya özet teklifi gönder; 3 ücretsiz atölye yap; ilk iki yazılı teklifi %50 peşinle kapat.</t>
        </is>
      </c>
      <c r="E104" s="24" t="n">
        <v>30</v>
      </c>
      <c r="F104" s="24" t="n">
        <v>30</v>
      </c>
      <c r="G104" s="24" t="n">
        <v>1000</v>
      </c>
      <c r="H104" s="16" t="inlineStr">
        <is>
          <t>30 günde 1 peşinat ve 3 yazılı teklif yanıtı</t>
        </is>
      </c>
      <c r="I104" s="16" t="inlineStr">
        <is>
          <t>15 temas ve 60 günde sıfır peşinat: fiyatı düşür ya da A seçeneğine geç</t>
        </is>
      </c>
      <c r="J104" s="16" t="inlineStr">
        <is>
          <t>Rapor tesliminde aynı işi tekrar isteyen var mı kaydet; ikinci kategori ve teşhis paketi teklifi</t>
        </is>
      </c>
    </row>
    <row r="105">
      <c r="A105" s="7" t="str">
        <f>Secenekler!A105</f>
        <v>b2b-pazar-yeri-hizmeti-c</v>
      </c>
      <c r="B105" s="7" t="str">
        <f>Secenekler!C105</f>
        <v>Tam paket: strateji, ekran seti, backlog ve 90 gün koçluk</v>
      </c>
      <c r="C105" s="16" t="inlineStr">
        <is>
          <t>Kurumsal ekip bütçesini ajans teklifi öncesinde 250.000 ₺ bağımsız strateji paketine ayırır.</t>
        </is>
      </c>
      <c r="D105" s="16" t="inlineStr">
        <is>
          <t>10 ajansla ortak teklif şablonu paylaş; 5 kurumsal ekibe 2 sayfalık karar çerçevesi gönder; 2 teklif ver; sözleşme ve peşinatı iste.</t>
        </is>
      </c>
      <c r="E105" s="24" t="n">
        <v>60</v>
      </c>
      <c r="F105" s="24" t="n">
        <v>50</v>
      </c>
      <c r="G105" s="24" t="n">
        <v>2000</v>
      </c>
      <c r="H105" s="16" t="inlineStr">
        <is>
          <t>60 günde 1 yazılı teklif yanıtı ve 1 ortak ajansın ortak teklifi</t>
        </is>
      </c>
      <c r="I105" s="16" t="inlineStr">
        <is>
          <t>5 ekip ve 90 günde teklif talebi yok: A seçeneğiyle teşhisi giriş ürünü yap</t>
        </is>
      </c>
      <c r="J105" s="16" t="inlineStr">
        <is>
          <t>Teşhis ile başlayıp tam pakete yükseltme; vaka izni; koçluk devamı</t>
        </is>
      </c>
    </row>
    <row r="106">
      <c r="A106" s="7" t="str">
        <f>Secenekler!A106</f>
        <v>lifeos-a</v>
      </c>
      <c r="B106" s="7" t="str">
        <f>Secenekler!C106</f>
        <v>Günün Framework'ü: ücretsiz yan panel ve çalışma kâğıdı paketi</v>
      </c>
      <c r="C106" s="16" t="inlineStr">
        <is>
          <t>Yöneticiler günün yöntemi serisinden sonra 199 TL'lik çalışma kâğıdını satın alır</t>
        </is>
      </c>
      <c r="D106" s="16" t="inlineStr">
        <is>
          <t>LinkedIn'de 10 günlük günün yöntemi serisi; her gönderide tek ön sipariş bağlantısı (havale ile ödeme); 10 tanıdığa doğrudan mesaj</t>
        </is>
      </c>
      <c r="E106" s="24" t="n">
        <v>14</v>
      </c>
      <c r="F106" s="24" t="n">
        <v>12</v>
      </c>
      <c r="G106" s="24" t="n">
        <v>0</v>
      </c>
      <c r="H106" s="16" t="inlineStr">
        <is>
          <t>En az 3 kişi 199 TL öder</t>
        </is>
      </c>
      <c r="I106" s="16" t="inlineStr">
        <is>
          <t>14 günde 0 ödeme ve 10 mesajda 0 olumlu yanıt</t>
        </is>
      </c>
      <c r="J106" s="16" t="inlineStr">
        <is>
          <t>Başarılıysa yan paneli 128 yönteme ve mağazaya taşı</t>
        </is>
      </c>
    </row>
    <row r="107">
      <c r="A107" s="7" t="str">
        <f>Secenekler!A107</f>
        <v>lifeos-b</v>
      </c>
      <c r="B107" s="7" t="str">
        <f>Secenekler!C107</f>
        <v>Freelancer haftalık çalışma kaydı: yerel CSV ve kurulum paketi</v>
      </c>
      <c r="C107" s="16" t="inlineStr">
        <is>
          <t>Freelancer'lar kendi çıktısı müşteri tarafından kabul edilen haftalık CSV için 600 TL öder</t>
        </is>
      </c>
      <c r="D107" s="16" t="inlineStr">
        <is>
          <t>5 freelancer ile iki hafta pilot; ikinci hafta aynı dışa aktarma tekrar kullanılırsa kurulum paketi teklifi</t>
        </is>
      </c>
      <c r="E107" s="24" t="n">
        <v>30</v>
      </c>
      <c r="F107" s="24" t="n">
        <v>40</v>
      </c>
      <c r="G107" s="24" t="n">
        <v>0</v>
      </c>
      <c r="H107" s="16" t="inlineStr">
        <is>
          <t>3 kullanıcı ikinci haftayı da dışa aktarır; en az 1 kişi öder</t>
        </is>
      </c>
      <c r="I107" s="16" t="inlineStr">
        <is>
          <t>Pilotta 0 tekrar kullanım ya da düzeltme süresi 15 dakikayı aşıyor</t>
        </is>
      </c>
      <c r="J107" s="16" t="inlineStr">
        <is>
          <t>Başarılıysa şablon karşılaştırmalı hafta ve çok projeli döküm</t>
        </is>
      </c>
    </row>
    <row r="108">
      <c r="A108" s="7" t="str">
        <f>Secenekler!A108</f>
        <v>lifeos-c</v>
      </c>
      <c r="B108" s="7" t="str">
        <f>Secenekler!C108</f>
        <v>Tek rutin yeni sekme şablonu: açık çekirdek ve ücretli kit</v>
      </c>
      <c r="C108" s="16" t="inlineStr">
        <is>
          <t>Eklenti geliştiricileri hazır tek rutin şablonuna 19 USD öder</t>
        </is>
      </c>
      <c r="D108" s="16" t="inlineStr">
        <is>
          <t>Açık çekirdeği yayınla; ücretli kit için tek sayfa ve MoR bağlantısı; 3 geliştirici topluluğu gönderisi</t>
        </is>
      </c>
      <c r="E108" s="24" t="n">
        <v>21</v>
      </c>
      <c r="F108" s="24" t="n">
        <v>15</v>
      </c>
      <c r="G108" s="24" t="n">
        <v>0</v>
      </c>
      <c r="H108" s="16" t="inlineStr">
        <is>
          <t>En az 2 ödeme ve 50 depo yıldızı</t>
        </is>
      </c>
      <c r="I108" s="16" t="inlineStr">
        <is>
          <t>21 günde 0 ödeme ve 20'den az depo ziyareti</t>
        </is>
      </c>
      <c r="J108" s="16" t="inlineStr">
        <is>
          <t>Başarılıysa kit içeriğini ve ikinci şablonu genişlet</t>
        </is>
      </c>
    </row>
    <row r="109">
      <c r="A109" s="7" t="str">
        <f>Secenekler!A109</f>
        <v>luquit-a</v>
      </c>
      <c r="B109" s="7" t="str">
        <f>Secenekler!C109</f>
        <v>Emlakçı CRM Lite aylık abonelik (bağımsız ofis)</v>
      </c>
      <c r="C109" s="16" t="inlineStr">
        <is>
          <t>1-10 kişilik ofisler yerel rakip fiyatı bandında (499-899 TL) ödeyecek kadar acı yaşıyor ve bizi seçecek</t>
        </is>
      </c>
      <c r="D109" s="16" t="inlineStr">
        <is>
          <t>3 tanıdık ofisle 30 dakika: bugünkü araç, kaçan müşteri, fiyat kabulü; ardından beta pilot teklifi yazılı mesajla; ekran görüntüleriyle demo</t>
        </is>
      </c>
      <c r="E109" s="24" t="n">
        <v>14</v>
      </c>
      <c r="F109" s="24" t="n">
        <v>8</v>
      </c>
      <c r="G109" s="24" t="n">
        <v>300</v>
      </c>
      <c r="H109" s="16" t="inlineStr">
        <is>
          <t>3 görüşmeden en az 2 ofis yazılı olarak aylık 499-899 TL öderim ve pilota girerim der</t>
        </is>
      </c>
      <c r="I109" s="16" t="inlineStr">
        <is>
          <t>Yazılı niyet veren ofis 1 ya da 0; ya da mevcut yerel rakibi bırakmama itirazı baskın</t>
        </is>
      </c>
      <c r="J109" s="16" t="inlineStr">
        <is>
          <t>Yeni ad ve alan adı, ilan-müşteri-eşleştirme çekirdeğinin sunucu tarafı (8 hafta)</t>
        </is>
      </c>
    </row>
    <row r="110">
      <c r="A110" s="7" t="str">
        <f>Secenekler!A110</f>
        <v>luquit-b</v>
      </c>
      <c r="B110" s="7" t="str">
        <f>Secenekler!C110</f>
        <v>Destekli cam arayüz yolculuk kiti (ajans ve freelancer)</v>
      </c>
      <c r="C110" s="16" t="inlineStr">
        <is>
          <t>Ücretsiz Radix, shadcn ve cam efekti paketleri varken ajanslar ölçülen entegrasyon süresi için kit ücreti öder</t>
        </is>
      </c>
      <c r="D110" s="16" t="inlineStr">
        <is>
          <t>İki yolculuğu bitir, kaynak ve kanıtla yayımla; 10 nitelikli ajans ya da freelancer ile kiti mevcut projede dene, süre kazancını kaydet, 1.500 TL fiyat teklif et</t>
        </is>
      </c>
      <c r="E110" s="24" t="n">
        <v>30</v>
      </c>
      <c r="F110" s="24" t="n">
        <v>30</v>
      </c>
      <c r="G110" s="24" t="n">
        <v>250</v>
      </c>
      <c r="H110" s="16" t="inlineStr">
        <is>
          <t>10 denemede en az 2 ücretli kit ya da yazılı ölçülen süre kazancı ve ikinci proje talebi</t>
        </is>
      </c>
      <c r="I110" s="16" t="inlineStr">
        <is>
          <t>10 nitelikli denemede ücret ya da zaman kazancı yok; kütüphane iç varlık ve referans olarak kalır</t>
        </is>
      </c>
      <c r="J110" s="16" t="inlineStr">
        <is>
          <t>3 ajansın mevcut projesinde entegrasyon ve destek süresi ölçümü</t>
        </is>
      </c>
    </row>
    <row r="111">
      <c r="A111" s="7" t="str">
        <f>Secenekler!A111</f>
        <v>metaframer-kernel-a</v>
      </c>
      <c r="B111" s="7" t="str">
        <f>Secenekler!C111</f>
        <v>tenantkit lisanslı kit (Solo ve Team, küresel)</v>
      </c>
      <c r="C111" s="16" t="inlineStr">
        <is>
          <t>Küçük SaaS ekipleri bedava çekirdek varken izolasyon ve audit temeli için lisans öder</t>
        </is>
      </c>
      <c r="D111" s="16" t="inlineStr">
        <is>
          <t>Demo ve README yayınla; 20 kişiye kişisel mesaj, 10 kişiyle 20 dakikalık demo; ön sipariş ya da yazılı niyet iste; Show HN denemesi</t>
        </is>
      </c>
      <c r="E111" s="24" t="n">
        <v>21</v>
      </c>
      <c r="F111" s="24" t="n">
        <v>60</v>
      </c>
      <c r="G111" s="24" t="n">
        <v>1500</v>
      </c>
      <c r="H111" s="16" t="inlineStr">
        <is>
          <t>En az 100 depo yıldızı ve en az 3 kişiden ön ödeme ya da ücretli lisans niyeti</t>
        </is>
      </c>
      <c r="I111" s="16" t="inlineStr">
        <is>
          <t>21 günde ön ödeme yok ve demo çalıştıran 15 kişiden az</t>
        </is>
      </c>
      <c r="J111" s="16" t="inlineStr">
        <is>
          <t>Lemon Squeezy sayfası ve ilk 10 kurucu lisansı; sonra outbox işçisi</t>
        </is>
      </c>
    </row>
    <row r="112">
      <c r="A112" s="7" t="str">
        <f>Secenekler!A112</f>
        <v>metaframer-kernel-b</v>
      </c>
      <c r="B112" s="7" t="str">
        <f>Secenekler!C112</f>
        <v>Ajans paketi: Team lisansı ve 1 günlük atölye (Türkiye)</v>
      </c>
      <c r="C112" s="16" t="inlineStr">
        <is>
          <t>Ajans backend ekipleri güvenlik anketi acısı için sabit fiyatlı paket öder</t>
        </is>
      </c>
      <c r="D112" s="16" t="inlineStr">
        <is>
          <t>Demoyu 10 ajansa göster; güvenlik anketi cevap şablonunu ücretsiz ver; atölye ve Team paketi için yazılı teklif gönder</t>
        </is>
      </c>
      <c r="E112" s="24" t="n">
        <v>28</v>
      </c>
      <c r="F112" s="24" t="n">
        <v>40</v>
      </c>
      <c r="G112" s="24" t="n">
        <v>500</v>
      </c>
      <c r="H112" s="16" t="inlineStr">
        <is>
          <t>En az 3 ajansla demo görüşmesi ve en az 1 yazılı teklif kabulü ya da ön ödeme</t>
        </is>
      </c>
      <c r="I112" s="16" t="inlineStr">
        <is>
          <t>10 ajans görüşmesinde teklif kabulü yok ve anket acısı en fazla 2 ajansta doğrulandı</t>
        </is>
      </c>
      <c r="J112" s="16" t="inlineStr">
        <is>
          <t>İlk ajansla atölye; sonra Frappe danışmanlarına denetim listesi</t>
        </is>
      </c>
    </row>
    <row r="113">
      <c r="A113" s="7" t="str">
        <f>Secenekler!A113</f>
        <v>metaframer-kernel-c</v>
      </c>
      <c r="B113" s="7" t="str">
        <f>Secenekler!C113</f>
        <v>Tek eylem çok kiracılı güvenlik entegrasyon paketi</v>
      </c>
      <c r="C113" s="16" t="inlineStr">
        <is>
          <t>Küçük SaaS şirketleri tek eylem güvenlik entegrasyonu için sabit paket öder</t>
        </is>
      </c>
      <c r="D113" s="16" t="inlineStr">
        <is>
          <t>Açık örnek ve negatif test paketini yayınla; 10 şirketin mühendisiyle 15 dakikalık görüşme; tek eylem sandbox teklifi ve fiyat sor</t>
        </is>
      </c>
      <c r="E113" s="24" t="n">
        <v>21</v>
      </c>
      <c r="F113" s="24" t="n">
        <v>70</v>
      </c>
      <c r="G113" s="24" t="n">
        <v>0</v>
      </c>
      <c r="H113" s="16" t="inlineStr">
        <is>
          <t>En az 2 şirketin sandbox denemesi ve en az 1 yazılı paket niyeti ya da ön ödeme</t>
        </is>
      </c>
      <c r="I113" s="16" t="inlineStr">
        <is>
          <t>10 görüşmede sandbox denemesi yok ya da her şirket çekirdek fork istiyor</t>
        </is>
      </c>
      <c r="J113" s="16" t="inlineStr">
        <is>
          <t>İlk müşteride 1-2 haftalık entegrasyon, sonra ikinci eylem ve adaptör şablonu</t>
        </is>
      </c>
    </row>
    <row r="114">
      <c r="A114" s="7" t="str">
        <f>Secenekler!A114</f>
        <v>alan-adi-bulucu-a</v>
      </c>
      <c r="B114" s="7" t="str">
        <f>Secenekler!C114</f>
        <v>Proje paketi: Türkçe puanlı boş .com kısa liste aracı</v>
      </c>
      <c r="C114" s="16" t="inlineStr">
        <is>
          <t>Ücretsiz rakipler dururken kullanıcı Türkçe puan ve marka sınıfı farkı için 199 ₺ öder</t>
        </is>
      </c>
      <c r="D114" s="16" t="inlineStr">
        <is>
          <t>Çalışan örnek sayfa ve ücretsiz 20 sorgu yayınla; çevredeki 10 girişimciye paketi ücretle sun; kısa liste süresini ve ödeme niyetini kaydet</t>
        </is>
      </c>
      <c r="E114" s="24" t="n">
        <v>14</v>
      </c>
      <c r="F114" s="24" t="n">
        <v>20</v>
      </c>
      <c r="G114" s="24" t="n">
        <v>500</v>
      </c>
      <c r="H114" s="16" t="inlineStr">
        <is>
          <t>10 kişiden en az 2'si 199 ₺ öder; ilk kısa liste en çok 10 dakika</t>
        </is>
      </c>
      <c r="I114" s="16" t="inlineStr">
        <is>
          <t>14 günde sıfır ödeme ve ücretsiz kullanıcının yarısından azı kısa liste tamamlar</t>
        </is>
      </c>
      <c r="J114" s="16" t="inlineStr">
        <is>
          <t>Başarılıysa 10 arama sayfasını yayınla ve ajans paketini aç</t>
        </is>
      </c>
    </row>
    <row r="115">
      <c r="A115" s="7" t="str">
        <f>Secenekler!A115</f>
        <v>alan-adi-bulucu-b</v>
      </c>
      <c r="B115" s="7" t="str">
        <f>Secenekler!C115</f>
        <v>Ajans yıllık paketi: puanlı kısa liste ve müşteri teslim şablonu</v>
      </c>
      <c r="C115" s="16" t="inlineStr">
        <is>
          <t>Ajans, ücretsiz araçlar dururken puanlı teslim şablonu için yılda 499 ₺ öder</t>
        </is>
      </c>
      <c r="D115" s="16" t="inlineStr">
        <is>
          <t>30 ajansa kişisel mesaj; ilgi gösterenlere 10 dakikalık demo ve örnek teslim dosyası; fiyat konuşulup yazılı yanıt alınır</t>
        </is>
      </c>
      <c r="E115" s="24" t="n">
        <v>21</v>
      </c>
      <c r="F115" s="24" t="n">
        <v>15</v>
      </c>
      <c r="G115" s="24" t="n">
        <v>0</v>
      </c>
      <c r="H115" s="16" t="inlineStr">
        <is>
          <t>30 mesajdan en az 3 demo talebi ve 1 yazılı satın alma niyeti</t>
        </is>
      </c>
      <c r="I115" s="16" t="inlineStr">
        <is>
          <t>21 günde sıfır demo talebi</t>
        </is>
      </c>
      <c r="J115" s="16" t="inlineStr">
        <is>
          <t>Demo talepleri gelirse şablonu yap ve ilk 2 ajansa yıllık ücretle sat</t>
        </is>
      </c>
    </row>
    <row r="116">
      <c r="A116" s="7" t="str">
        <f>Secenekler!A116</f>
        <v>alan-adi-bulucu-c</v>
      </c>
      <c r="B116" s="7" t="str">
        <f>Secenekler!C116</f>
        <v>Elle teslim: 10 adaylık güncel boş .com karar dosyası</v>
      </c>
      <c r="C116" s="16" t="inlineStr">
        <is>
          <t>Ad arasında kalan girişimci, Türkçe okunuş ve marka sınıfı farkıyla güncel karar dosyasına 1.490 ₺ öder</t>
        </is>
      </c>
      <c r="D116" s="16" t="inlineStr">
        <is>
          <t>Anonim örnek dosya hazırla; çevredeki 10 girişimciye teklif et; ilk üç ücretli pilotu 48 saatte elle teslim et ve emek süresini kaydet</t>
        </is>
      </c>
      <c r="E116" s="24" t="n">
        <v>7</v>
      </c>
      <c r="F116" s="24" t="n">
        <v>12</v>
      </c>
      <c r="G116" s="24" t="n">
        <v>0</v>
      </c>
      <c r="H116" s="16" t="inlineStr">
        <is>
          <t>10 teklifin en az 2'si ödeme yapar; teslim 2 saati aşmaz</t>
        </is>
      </c>
      <c r="I116" s="16" t="inlineStr">
        <is>
          <t>7 günde sıfır ödeme ve en çok bir olumlu yanıt</t>
        </is>
      </c>
      <c r="J116" s="16" t="inlineStr">
        <is>
          <t>Aynı alıcı tekrar iş isterse aracı 199 ₺ proje paketine (seçenek A) çevir</t>
        </is>
      </c>
    </row>
    <row r="117">
      <c r="A117" s="7" t="str">
        <f>Secenekler!A117</f>
        <v>projector-a</v>
      </c>
      <c r="B117" s="7" t="str">
        <f>Secenekler!C117</f>
        <v>Türkçe SaaS mimarisi e-kitabı ön satışı</v>
      </c>
      <c r="C117" s="16" t="inlineStr">
        <is>
          <t>Türkçe geliştiriciler, ücretsiz önizlemeden sonra 349 TL'lik e-kitap için ön ödeme yapar.</t>
        </is>
      </c>
      <c r="D117" s="16" t="inlineStr">
        <is>
          <t>Bölüm 1-3 ve ön satış sayfasını yayınla; ağdan 30 teknik lidere kişisel mesaj, LinkedIn'de 8 gönderi, bülten kaydı topla; ilk 10 alıcıya indirim.</t>
        </is>
      </c>
      <c r="E117" s="24" t="n">
        <v>28</v>
      </c>
      <c r="F117" s="24" t="n">
        <v>40</v>
      </c>
      <c r="G117" s="24" t="n">
        <v>1500</v>
      </c>
      <c r="H117" s="16" t="inlineStr">
        <is>
          <t>28 günde en az 10 ödenmiş ön satış ve 100 e-posta kaydı.</t>
        </is>
      </c>
      <c r="I117" s="16" t="inlineStr">
        <is>
          <t>28 günde 3'ten az ödeme ya da kayıtta yüzde 3'ün altı: kitabı bülten içeriğine çevir.</t>
        </is>
      </c>
      <c r="J117" s="16" t="inlineStr">
        <is>
          <t>Başarıda bölüm 4-6 ve örnek repo; ardından kurs ön satışı.</t>
        </is>
      </c>
    </row>
    <row r="118">
      <c r="A118" s="7" t="str">
        <f>Secenekler!A118</f>
        <v>projector-b</v>
      </c>
      <c r="B118" s="7" t="str">
        <f>Secenekler!C118</f>
        <v>İki günlük ekip atölyesi: Kurumsal SaaS mimarisi</v>
      </c>
      <c r="C118" s="16" t="inlineStr">
        <is>
          <t>Bir yazılım evi, referanssız bir kurucuya 2 günlük atölye için 35.000 TL ödemeye hazırdır.</t>
        </is>
      </c>
      <c r="D118" s="16" t="inlineStr">
        <is>
          <t>30 firmalık liste; 10 kişisel mesaj, 20 dakikalık ön görüşme, ekibin modül haritasına özel yazılı teklif; mevcut ilişkide pilot atölye.</t>
        </is>
      </c>
      <c r="E118" s="24" t="n">
        <v>45</v>
      </c>
      <c r="F118" s="24" t="n">
        <v>25</v>
      </c>
      <c r="G118" s="24" t="n">
        <v>0</v>
      </c>
      <c r="H118" s="16" t="inlineStr">
        <is>
          <t>2 yazılı teklif görüşmesi ve en az 1 ön ödeme ya da imzalı sipariş.</t>
        </is>
      </c>
      <c r="I118" s="16" t="inlineStr">
        <is>
          <t>45 günde 10 mesajdan hiç görüşme yok ya da 3 teklif fiyat nedeniyle reddedildi.</t>
        </is>
      </c>
      <c r="J118" s="16" t="inlineStr">
        <is>
          <t>Başarıda 12 kişilik paket sabit; ardından tekrar eden ekip lisansı.</t>
        </is>
      </c>
    </row>
    <row r="119">
      <c r="A119" s="7" t="str">
        <f>Secenekler!A119</f>
        <v>projector-c</v>
      </c>
      <c r="B119" s="7" t="str">
        <f>Secenekler!C119</f>
        <v>Kaynaklı teslim portalı: 30 dokümanlık migration pilotu</v>
      </c>
      <c r="C119" s="16" t="inlineStr">
        <is>
          <t>Bir danışmanlık firması, 30 dokümanını kaynaklı portala taşıyan sabit kapsamlı pilot için ücret öder.</t>
        </is>
      </c>
      <c r="D119" s="16" t="inlineStr">
        <is>
          <t>3 gerçek doküman külliyatında rapor çıkar, anonim örnek yayınla, 5 firmaya sabit fiyatlı pilot teklifi gönder; her yanıtı kaydet.</t>
        </is>
      </c>
      <c r="E119" s="24" t="n">
        <v>14</v>
      </c>
      <c r="F119" s="24" t="n">
        <v>20</v>
      </c>
      <c r="G119" s="24" t="n">
        <v>0</v>
      </c>
      <c r="H119" s="16" t="inlineStr">
        <is>
          <t>5 tekliften en az 2 olumlu yanıt ve 1 yazılı pilot niyeti.</t>
        </is>
      </c>
      <c r="I119" s="16" t="inlineStr">
        <is>
          <t>14 günde hiç olumlu yanıt yok ya da firmalar yalnız ücretsiz araç istiyor.</t>
        </is>
      </c>
      <c r="J119" s="16" t="inlineStr">
        <is>
          <t>Başarıda ücretli pilot; teslimden bir ay sonra güncelleme isteği olursa barındırılan sürüm.</t>
        </is>
      </c>
    </row>
    <row r="120">
      <c r="A120" s="7" t="str">
        <f>Secenekler!A120</f>
        <v>kurucu-pusulasi-a</v>
      </c>
      <c r="B120" s="7" t="str">
        <f>Secenekler!C120</f>
        <v>Kurucu Pusulası şablonu, bireysel satış</v>
      </c>
      <c r="C120" s="16" t="inlineStr">
        <is>
          <t>Kurucular, arındırılmış bir karar dosyası için 299 TL öder; ücretsiz ilk 3 küme paketi satışa dönüşür</t>
        </is>
      </c>
      <c r="D120" s="16" t="inlineStr">
        <is>
          <t>Anonim örnek ve ilk 3 küme paketini kendi sitelerinde ve 20 kurucuya doğrudan yayımla; 299 TL ödeme bağlantısıyla tam paketi sun</t>
        </is>
      </c>
      <c r="E120" s="24" t="n">
        <v>21</v>
      </c>
      <c r="F120" s="24" t="n">
        <v>30</v>
      </c>
      <c r="G120" s="24" t="n">
        <v>1000</v>
      </c>
      <c r="H120" s="16" t="inlineStr">
        <is>
          <t>21 günde en az 5 ödeme ya da 400 indirmede en az 12 satış</t>
        </is>
      </c>
      <c r="I120" s="16" t="inlineStr">
        <is>
          <t>21 günde 150 indirme ve sıfır ödeme</t>
        </is>
      </c>
      <c r="J120" s="16" t="inlineStr">
        <is>
          <t>Başarıda mentor sürümü ve İngilizce paket; olmazsa şablon ücretsiz huni olarak kalır</t>
        </is>
      </c>
    </row>
    <row r="121">
      <c r="A121" s="7" t="str">
        <f>Secenekler!A121</f>
        <v>kurucu-pusulasi-b</v>
      </c>
      <c r="B121" s="7" t="str">
        <f>Secenekler!C121</f>
        <v>Mentor sürümü, kuluçka programlarına kurum lisansı</v>
      </c>
      <c r="C121" s="16" t="inlineStr">
        <is>
          <t>Program yöneticileri aynı karar iskeleti için kurum bütçesinden 1.490 TL öder ve tek fatura keser</t>
        </is>
      </c>
      <c r="D121" s="16" t="inlineStr">
        <is>
          <t>10 programın yöneticisine anonim örnekle 15 dakikalık görüşme iste; ilgi gösterenlere yazılı teklif ve atölye tarihi ver</t>
        </is>
      </c>
      <c r="E121" s="24" t="n">
        <v>45</v>
      </c>
      <c r="F121" s="24" t="n">
        <v>25</v>
      </c>
      <c r="G121" s="24" t="n">
        <v>0</v>
      </c>
      <c r="H121" s="16" t="inlineStr">
        <is>
          <t>45 günde 5 görüşme ve en az 1 yazılı teklif kabulü</t>
        </is>
      </c>
      <c r="I121" s="16" t="inlineStr">
        <is>
          <t>10 temasta 2'den az görüşme ve sıfır teklif talebi</t>
        </is>
      </c>
      <c r="J121" s="16" t="inlineStr">
        <is>
          <t>Başarıda ekip başı kopya ve toplu ritim kartını standartlaştır; olmazsa bireysel satışa dön</t>
        </is>
      </c>
    </row>
    <row r="122">
      <c r="A122" s="7" t="str">
        <f>Secenekler!A122</f>
        <v>kurucu-pusulasi-c</v>
      </c>
      <c r="B122" s="7" t="str">
        <f>Secenekler!C122</f>
        <v>Kitap Atlası, çevirmen künyeli ortaklık sitesi</v>
      </c>
      <c r="C122" s="16" t="inlineStr">
        <is>
          <t>Arama trafiği künye sayfalarından mağazaya tıklar ve ortaklık programları kabul eder, komisyon ödenir</t>
        </is>
      </c>
      <c r="D122" s="16" t="inlineStr">
        <is>
          <t>20 künyeyi doğrula, bağlantıları ekle, Search Console aç; 60 gün tıklama ve gösterim sayısını izle</t>
        </is>
      </c>
      <c r="E122" s="24" t="n">
        <v>60</v>
      </c>
      <c r="F122" s="24" t="n">
        <v>14</v>
      </c>
      <c r="G122" s="24" t="n">
        <v>0</v>
      </c>
      <c r="H122" s="16" t="inlineStr">
        <is>
          <t>60 günde 1.000 ziyaret, yüzde 10 mağaza tıklaması ve ilk komisyon kaydı</t>
        </is>
      </c>
      <c r="I122" s="16" t="inlineStr">
        <is>
          <t>60 günde 300 ziyaretin altı ya da hiçbir programın kabul etmemesi</t>
        </is>
      </c>
      <c r="J122" s="16" t="inlineStr">
        <is>
          <t>Başarıda ayda 10 künye ve yayınevi sayfaları; olmazsa site yalnız şablon hunisi olarak kalır</t>
        </is>
      </c>
    </row>
    <row r="123">
      <c r="A123" s="7" t="str">
        <f>Secenekler!A123</f>
        <v>signator-a</v>
      </c>
      <c r="B123" s="7" t="str">
        <f>Secenekler!C123</f>
        <v>Ajans paketi: white-label toplu imza ve KVKK altbilgi</v>
      </c>
      <c r="C123" s="16" t="inlineStr">
        <is>
          <t>Ajanslar imzayı ek kalem olarak satmak için yıllık 4.990 TL ödemeye razı</t>
        </is>
      </c>
      <c r="D123" s="16" t="inlineStr">
        <is>
          <t>Mevcut ilişkideki 3 ajansa demo ve ilk müşteride ücretsiz kurulum; ardından 20 ajansa e-posta ve demo</t>
        </is>
      </c>
      <c r="E123" s="24" t="n">
        <v>42</v>
      </c>
      <c r="F123" s="24" t="n">
        <v>40</v>
      </c>
      <c r="G123" s="24" t="n">
        <v>0</v>
      </c>
      <c r="H123" s="16" t="inlineStr">
        <is>
          <t>3 ajanstan en az 1 yazılı ön ödeme ya da onaylı sipariş</t>
        </is>
      </c>
      <c r="I123" s="16" t="inlineStr">
        <is>
          <t>20 demoda sıfır ödeme niyeti</t>
        </is>
      </c>
      <c r="J123" s="16" t="inlineStr">
        <is>
          <t>Ajans paneli ve white-label alan adı</t>
        </is>
      </c>
    </row>
    <row r="124">
      <c r="A124" s="7" t="str">
        <f>Secenekler!A124</f>
        <v>signator-b</v>
      </c>
      <c r="B124" s="7" t="str">
        <f>Secenekler!C124</f>
        <v>KOBİ ekip paketi: self-servis, aramadan gelen satış</v>
      </c>
      <c r="C124" s="16" t="inlineStr">
        <is>
          <t>Aramadan gelen KOBİ ücretsiz araçla yetinmeyip ekip paketi için ödeme yapar</t>
        </is>
      </c>
      <c r="D124" s="16" t="inlineStr">
        <is>
          <t>2 rehber sayfası ve ücretsiz araç yayında; 8 hafta Search Console gösterimi ve deneme sayısı izlenir; 5 mevcut ilişkide ücretsiz pilot</t>
        </is>
      </c>
      <c r="E124" s="24" t="n">
        <v>56</v>
      </c>
      <c r="F124" s="24" t="n">
        <v>50</v>
      </c>
      <c r="G124" s="24" t="n">
        <v>1000</v>
      </c>
      <c r="H124" s="16" t="inlineStr">
        <is>
          <t>Haftada en az 300 gösterim ve 3 ekip denemesi, 1 ödeme</t>
        </is>
      </c>
      <c r="I124" s="16" t="inlineStr">
        <is>
          <t>8 haftada 300 gösterimin altı ve sıfır ödeme</t>
        </is>
      </c>
      <c r="J124" s="16" t="inlineStr">
        <is>
          <t>Kalan 4 rehber sayfası ve marka kilidi</t>
        </is>
      </c>
    </row>
    <row r="125">
      <c r="A125" s="7" t="str">
        <f>Secenekler!A125</f>
        <v>signator-c</v>
      </c>
      <c r="B125" s="7" t="str">
        <f>Secenekler!C125</f>
        <v>Sabit fiyatlı ekip imzası kurulum paketi</v>
      </c>
      <c r="C125" s="16" t="inlineStr">
        <is>
          <t>Bir şirket 5 kişilik imza kurulumuna sabit 1.000 TL öder</t>
        </is>
      </c>
      <c r="D125" s="16" t="inlineStr">
        <is>
          <t>Anonim örnek paketi hazırla, 10 mevcut ilişkiye sabit fiyatlı teklif gönder, ilk 3 kabulde kurulum süresini ölç</t>
        </is>
      </c>
      <c r="E125" s="24" t="n">
        <v>21</v>
      </c>
      <c r="F125" s="24" t="n">
        <v>14</v>
      </c>
      <c r="G125" s="24" t="n">
        <v>0</v>
      </c>
      <c r="H125" s="16" t="inlineStr">
        <is>
          <t>10 tekliften en az 2 ödeme ve kurulum 4 saatin altında</t>
        </is>
      </c>
      <c r="I125" s="16" t="inlineStr">
        <is>
          <t>10 tekliften sıfır ödeme ya da kurulum 8 saati aşıyor</t>
        </is>
      </c>
      <c r="J125" s="16" t="inlineStr">
        <is>
          <t>Ajans paketi ya da yazılımlı ekip paketi</t>
        </is>
      </c>
    </row>
    <row r="126">
      <c r="A126" s="7" t="str">
        <f>Secenekler!A126</f>
        <v>volley-tap-a</v>
      </c>
      <c r="B126" s="7" t="str">
        <f>Secenekler!C126</f>
        <v>Kulüp ve markalara sabit paketli kampanya oyunu</v>
      </c>
      <c r="C126" s="16" t="inlineStr">
        <is>
          <t>Bir kulüp ya da marka, gerçek oyun demosunu görünce sabit 15-25 bin liralık paketi ön ödemeyle alır</t>
        </is>
      </c>
      <c r="D126" s="16" t="inlineStr">
        <is>
          <t>AI rakipli demo hazır olunca 10 kulüp ve marka yöneticisine kişisel mesajla 15 dakikalık demo ve 1 sayfalık teklif sun</t>
        </is>
      </c>
      <c r="E126" s="24" t="n">
        <v>45</v>
      </c>
      <c r="F126" s="24" t="n">
        <v>70</v>
      </c>
      <c r="G126" s="24" t="n">
        <v>500</v>
      </c>
      <c r="H126" s="16" t="inlineStr">
        <is>
          <t>10 temastan en az 3 demo ve 1 yazılı teklif yanıtı; ilk 60 günde 1 ön ödeme ya da imzalı pilot</t>
        </is>
      </c>
      <c r="I126" s="16" t="inlineStr">
        <is>
          <t>10 temas ve 4 demodan sonra fiyat kabul eden ya da ön ödeme yapan yok</t>
        </is>
      </c>
      <c r="J126" s="16" t="inlineStr">
        <is>
          <t>Pilot tema dosyası ve kampanya paneli; sonra ajans beyaz etiketli paket</t>
        </is>
      </c>
    </row>
    <row r="127">
      <c r="A127" s="7" t="str">
        <f>Secenekler!A127</f>
        <v>volley-tap-b</v>
      </c>
      <c r="B127" s="7" t="str">
        <f>Secenekler!C127</f>
        <v>CrazyGames ve Yandex Games portal reklam geliri</v>
      </c>
      <c r="C127" s="16" t="inlineStr">
        <is>
          <t>CrazyGames Basic Launch'ta ortalama oturum 3 dakika ve tekrar oynama %25'e ulaşır, Full Launch alır</t>
        </is>
      </c>
      <c r="D127" s="16" t="inlineStr">
        <is>
          <t>Gönderilebilir sürümü CrazyGames'e gönder; 7-21 gün QA ve metrik raporunu oku; sonra Yandex'e gönder</t>
        </is>
      </c>
      <c r="E127" s="24" t="n">
        <v>45</v>
      </c>
      <c r="F127" s="24" t="n">
        <v>110</v>
      </c>
      <c r="G127" s="24" t="n">
        <v>4000</v>
      </c>
      <c r="H127" s="16" t="inlineStr">
        <is>
          <t>Oturum 3 dk ve tekrar oynama %25 üstü; Full Launch onayı</t>
        </is>
      </c>
      <c r="I127" s="16" t="inlineStr">
        <is>
          <t>Basic Launch metrikleri hedefin yarısının altında ya da Full Launch reddi</t>
        </is>
      </c>
      <c r="J127" s="16" t="inlineStr">
        <is>
          <t>Yandex gönderimi; oynanış verisine göre iki mod; B2B demosu için portal kanıtı</t>
        </is>
      </c>
    </row>
    <row r="128">
      <c r="A128" s="7" t="str">
        <f>Secenekler!A128</f>
        <v>volley-tap-c</v>
      </c>
      <c r="B128" s="7" t="str">
        <f>Secenekler!C128</f>
        <v>itch.io tarayıcı demo ve ücretli premium paket</v>
      </c>
      <c r="C128" s="16" t="inlineStr">
        <is>
          <t>Ücretsiz ilk maçı bitiren ve rövanş oynayan oyuncu 2-5 dolarlık premium paketi satın alır</t>
        </is>
      </c>
      <c r="D128" s="16" t="inlineStr">
        <is>
          <t>itch tarayıcı demosunu yayınla, 20 saniyelik klibi paylaş; ilk maç tamamlama, rematch ve ödeme verisini izinli ve anonim olay olarak ölç</t>
        </is>
      </c>
      <c r="E128" s="24" t="n">
        <v>90</v>
      </c>
      <c r="F128" s="24" t="n">
        <v>32</v>
      </c>
      <c r="G128" s="24" t="n">
        <v>500</v>
      </c>
      <c r="H128" s="16" t="inlineStr">
        <is>
          <t>100 demo oturumu, en az 30 bitmiş maç, 5 gönüllü ödeme</t>
        </is>
      </c>
      <c r="I128" s="16" t="inlineStr">
        <is>
          <t>100 oturumda 30'dan az bitmiş maç ve sıfır ödeme</t>
        </is>
      </c>
      <c r="J128" s="16" t="inlineStr">
        <is>
          <t>Düşük rövanşta kontrol ve fizik iyileştirmesi; ödeme gelirse içerik paketi ve etkinlik sürümü</t>
        </is>
      </c>
    </row>
    <row r="129">
      <c r="A129" s="7" t="str">
        <f>Secenekler!A129</f>
        <v>woocommnts-a</v>
      </c>
      <c r="B129" s="7" t="str">
        <f>Secenekler!C129</f>
        <v>Taksit ve kapıda ödeme eklentisi: ücretsiz çekirdek + Pro</v>
      </c>
      <c r="C129" s="16" t="inlineStr">
        <is>
          <t>Kapıda ödeme ve taksit için geçitten bağımsız eklentiye mağaza sahibi para öder</t>
        </is>
      </c>
      <c r="D129" s="16" t="inlineStr">
        <is>
          <t>Taksit tablosu ve kapıda ödeme kuralı örnek ekranlarıyla 10 hedef mağaza ve 5 ajansa yaz; 5 pilota ücretsiz Pro ver, ön ödemeli yıllık 1.490 TL teklif et</t>
        </is>
      </c>
      <c r="E129" s="24" t="n">
        <v>21</v>
      </c>
      <c r="F129" s="24" t="n">
        <v>15</v>
      </c>
      <c r="G129" s="24" t="n">
        <v>0</v>
      </c>
      <c r="H129" s="16" t="inlineStr">
        <is>
          <t>En az 3 mağaza veya ajans yazılı niyet verir, en az 1'i ön ödeme yapar</t>
        </is>
      </c>
      <c r="I129" s="16" t="inlineStr">
        <is>
          <t>21 günde 0 yazılı niyet ve ön ödeme yok</t>
        </is>
      </c>
      <c r="J129" s="16" t="inlineStr">
        <is>
          <t>MVP'yi 10 günde yapıp wordpress.org'a gönder, Pro lisansı hafta 9'da aç</t>
        </is>
      </c>
    </row>
    <row r="130">
      <c r="A130" s="7" t="str">
        <f>Secenekler!A130</f>
        <v>woocommnts-b</v>
      </c>
      <c r="B130" s="7" t="str">
        <f>Secenekler!C130</f>
        <v>Ajans paketi: 10 site lisanslı taksit ve kapıda ödeme eklentisi</v>
      </c>
      <c r="C130" s="16" t="inlineStr">
        <is>
          <t>Ajans müşteri başına yeniden yazmadan tek lisansla taksit ve kapıda ödeme çözümüne para öder</t>
        </is>
      </c>
      <c r="D130" s="16" t="inlineStr">
        <is>
          <t>20 ajansa kısa e-posta ve LinkedIn mesajı; ilgilenenlere 15 dakikalık görüşme, 1 mağazada ücretsiz pilot, ardından 2.990 TL teklif</t>
        </is>
      </c>
      <c r="E130" s="24" t="n">
        <v>28</v>
      </c>
      <c r="F130" s="24" t="n">
        <v>20</v>
      </c>
      <c r="G130" s="24" t="n">
        <v>0</v>
      </c>
      <c r="H130" s="16" t="inlineStr">
        <is>
          <t>20 temastan 4 yanıt, 2 pilot ve en az 1 yazılı satın alma niyeti</t>
        </is>
      </c>
      <c r="I130" s="16" t="inlineStr">
        <is>
          <t>28 günde 20 temasa 2'den az yanıt</t>
        </is>
      </c>
      <c r="J130" s="16" t="inlineStr">
        <is>
          <t>Pilot ajansla ilk mağaza kurulumu ve ücretli lisans, sonra ikinci dalga 10 e-posta</t>
        </is>
      </c>
    </row>
    <row r="131">
      <c r="A131" s="7" t="str">
        <f>Secenekler!A131</f>
        <v>woocommnts-c</v>
      </c>
      <c r="B131" s="7" t="str">
        <f>Secenekler!C131</f>
        <v>Yorum göç hizmeti: izinli yorumları doğru ürüne eşleme</v>
      </c>
      <c r="C131" s="16" t="inlineStr">
        <is>
          <t>Mağaza veya ajans, yorum göçü için sabit fiyatlı hizmete para öder</t>
        </is>
      </c>
      <c r="D131" s="16" t="inlineStr">
        <is>
          <t>Herkese açık örnek paketi yayımla, topluluk ve 10 ajansa tek göç için 4.000 TL teklif sun; 3 izinli pilot göçü yap</t>
        </is>
      </c>
      <c r="E131" s="24" t="n">
        <v>30</v>
      </c>
      <c r="F131" s="24" t="n">
        <v>24</v>
      </c>
      <c r="G131" s="24" t="n">
        <v>0</v>
      </c>
      <c r="H131" s="16" t="inlineStr">
        <is>
          <t>10 doğru ve bozuk kaynak eşlemesi, 3 izinli mağaza ve en az 1 ücretli göç</t>
        </is>
      </c>
      <c r="I131" s="16" t="inlineStr">
        <is>
          <t>30 günde 0 yazılı teklif yanıtı ve ücretli göç yok</t>
        </is>
      </c>
      <c r="J131" s="16" t="inlineStr">
        <is>
          <t>Tekrar göç ihtiyacı çıkarsa araçlaştır; çıkmazsa hizmet olarak sabit tut</t>
        </is>
      </c>
    </row>
    <row r="132">
      <c r="A132" s="7" t="str">
        <f>Secenekler!A132</f>
        <v>egitim-demolari-a</v>
      </c>
      <c r="B132" s="7" t="str">
        <f>Secenekler!C132</f>
        <v>Tek kazanımlı ders paketi (rehber ve cevap anahtarı)</v>
      </c>
      <c r="C132" s="16" t="inlineStr">
        <is>
          <t>Öğretmenler ücretsiz örnekten sonra tek kazanım paketi için 600 TL öder</t>
        </is>
      </c>
      <c r="D132" s="16" t="inlineStr">
        <is>
          <t>Bir kazanım için ücretsiz örnek ders paylaş; 20 öğretmene fiyatlı paketi sun; 3 haftada talep ve ödeme say.</t>
        </is>
      </c>
      <c r="E132" s="24" t="n">
        <v>21</v>
      </c>
      <c r="F132" s="24" t="n">
        <v>40</v>
      </c>
      <c r="G132" s="24" t="n">
        <v>500</v>
      </c>
      <c r="H132" s="16" t="inlineStr">
        <is>
          <t>20 temastan en az 2 ödeme ya da yazılı ön sipariş</t>
        </is>
      </c>
      <c r="I132" s="16" t="inlineStr">
        <is>
          <t>20 temasta sıfır ödeme ve sıfır fiyat talebi</t>
        </is>
      </c>
      <c r="J132" s="16" t="inlineStr">
        <is>
          <t>Başarılırsa ikinci kazanım ve 3'lü paket</t>
        </is>
      </c>
    </row>
    <row r="133">
      <c r="A133" s="7" t="str">
        <f>Secenekler!A133</f>
        <v>egitim-demolari-b</v>
      </c>
      <c r="B133" s="7" t="str">
        <f>Secenekler!C133</f>
        <v>Ekip atölyesi: prensipleri kendi işine uyarlama</v>
      </c>
      <c r="C133" s="16" t="inlineStr">
        <is>
          <t>Bir ekip lideri kendi problemine uyarlanmış atölye için ödeme yapar</t>
        </is>
      </c>
      <c r="D133" s="16" t="inlineStr">
        <is>
          <t>Bir ekipten tek sorun topla, 20 dakikalık ücretsiz mini ders uygula, sonunda yazılan eylem değişimini ve atölye teklifini sun.</t>
        </is>
      </c>
      <c r="E133" s="24" t="n">
        <v>30</v>
      </c>
      <c r="F133" s="24" t="n">
        <v>25</v>
      </c>
      <c r="G133" s="24" t="n">
        <v>0</v>
      </c>
      <c r="H133" s="16" t="inlineStr">
        <is>
          <t>En az 1 ekip ücretli atölyeyi kabul eder</t>
        </is>
      </c>
      <c r="I133" s="16" t="inlineStr">
        <is>
          <t>5 ekip görüşmesinde sıfır ücretli teklif kabulü</t>
        </is>
      </c>
      <c r="J133" s="16" t="inlineStr">
        <is>
          <t>Başarılırsa ikinci ekip ve 3 prensiplik tekrar paketi</t>
        </is>
      </c>
    </row>
    <row r="134">
      <c r="A134" s="7" t="str">
        <f>Secenekler!A134</f>
        <v>baz-secenekler-a</v>
      </c>
      <c r="B134" s="7" t="str">
        <f>Secenekler!C134</f>
        <v>Günlük ücretli danışmanlık ya da yazılım işi (aynı saatlerde)</v>
      </c>
      <c r="C134" s="16" t="inlineStr">
        <is>
          <t>İki mevcut ilişkiden en az biri 5 günlük sabit çıktılı paketi 4.000-6.000 ₺/gün ile satın alır</t>
        </is>
      </c>
      <c r="D134" s="16" t="inlineStr">
        <is>
          <t>Tek sayfalık 5 günlük paket teklifini 5 kişiye (iki mevcut ilişki, üç ikinci derece) kişisel mesajla gönder; fiyat sorusunu aç sor.</t>
        </is>
      </c>
      <c r="E134" s="24" t="n">
        <v>14</v>
      </c>
      <c r="F134" s="24" t="n">
        <v>6</v>
      </c>
      <c r="G134" s="24" t="n">
        <v>0</v>
      </c>
      <c r="H134" s="16" t="inlineStr">
        <is>
          <t>Bir yazılı onay ya da avans; ya da fiyatı itirazsız kabul eden iki görüşme</t>
        </is>
      </c>
      <c r="I134" s="16" t="inlineStr">
        <is>
          <t>21 gün içinde hiçbir kişiden fiyatlı yanıt gelmezse liste genişletilir, fiyat sorgulanır</t>
        </is>
      </c>
      <c r="J134" s="16" t="inlineStr">
        <is>
          <t>İlk paketten sonra aylık yönetim ya da ikinci beş günlük paket; fiyat 6.000 ₺'ye çıkar</t>
        </is>
      </c>
    </row>
    <row r="135">
      <c r="A135" s="7" t="str">
        <f>Secenekler!A135</f>
        <v>baz-secenekler-b</v>
      </c>
      <c r="B135" s="7" t="str">
        <f>Secenekler!C135</f>
        <v>Mevcut Django kod tabanının ajanslara kurulumlu satışı</v>
      </c>
      <c r="C135" s="16" t="inlineStr">
        <is>
          <t>Ajanslar 19-89 USD'lik betik yerine 15.000-25.000 ₺'lik kurulumlu çekirdeği satın alır</t>
        </is>
      </c>
      <c r="D135" s="16" t="inlineStr">
        <is>
          <t>40 ajansa kişisel e-posta; ilgi çekenlere 20 dakikalık demo ve yazılı kapsam belgesi; ödeme sağlayıcısı ve %50 ön ödeme teklif et.</t>
        </is>
      </c>
      <c r="E135" s="24" t="n">
        <v>30</v>
      </c>
      <c r="F135" s="24" t="n">
        <v>40</v>
      </c>
      <c r="G135" s="24" t="n">
        <v>1000</v>
      </c>
      <c r="H135" s="16" t="inlineStr">
        <is>
          <t>40 mesajdan en az 2 demo ve 1 yazılı kapsam belgesi ya da ön ödeme</t>
        </is>
      </c>
      <c r="I135" s="16" t="inlineStr">
        <is>
          <t>40 mesajdan 0 demo talebi gelirse kodu arşivle ve modülleri Zabuno'ya taşı</t>
        </is>
      </c>
      <c r="J135" s="16" t="inlineStr">
        <is>
          <t>İlk kurulum ödenirse 5 kurulumluk sıra; bakım sözleşmesi ve ödeme entegrasyonu şablonu</t>
        </is>
      </c>
    </row>
    <row r="136">
      <c r="A136" s="7" t="str">
        <f>Secenekler!A136</f>
        <v>baz-secenekler-c</v>
      </c>
      <c r="B136" s="7" t="str">
        <f>Secenekler!C136</f>
        <v>Kamu destek programı başvurusu: TÜBİTAK 1812 ön tohum yatırımı</v>
      </c>
      <c r="C136" s="16" t="inlineStr">
        <is>
          <t>Sonraki çağrı 6 ay içinde açılır ve proje uygunluk şartlarını (şirket yapısı, rozet) sağlar</t>
        </is>
      </c>
      <c r="D136" s="16" t="inlineStr">
        <is>
          <t>Resmi duyuruları ve şartnameyi oku; teknoloji transfer ofisine uygunluk sor; 2 sayfalık özet dosya hazırla.</t>
        </is>
      </c>
      <c r="E136" s="24" t="n">
        <v>14</v>
      </c>
      <c r="F136" s="24" t="n">
        <v>12</v>
      </c>
      <c r="G136" s="24" t="n">
        <v>0</v>
      </c>
      <c r="H136" s="16" t="inlineStr">
        <is>
          <t>Çağrı tarihi ve uygunluk şartları yazılı kaynakla doğrulanır; özet dosya hazır</t>
        </is>
      </c>
      <c r="I136" s="16" t="inlineStr">
        <is>
          <t>60 gün içinde açık çağrı ya da uygunluk yoksa seçeneği beklemeye al</t>
        </is>
      </c>
      <c r="J136" s="16" t="inlineStr">
        <is>
          <t>Çağrı açılırsa tam başvuru dosyası ve şirket kuruluşu; kabul sonrası izleme raporu</t>
        </is>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155"/>
  <sheetViews>
    <sheetView workbookViewId="0">
      <pane ySplit="4" topLeftCell="A5" activePane="bottomLeft" state="frozen"/>
      <selection pane="bottomLeft" activeCell="A1" sqref="A1"/>
    </sheetView>
  </sheetViews>
  <sheetFormatPr baseColWidth="8" defaultRowHeight="15"/>
  <cols>
    <col width="26" customWidth="1" min="1" max="1"/>
    <col width="9" customWidth="1" min="2" max="2"/>
    <col width="96" customWidth="1" min="3" max="3"/>
    <col width="14" customWidth="1" min="4" max="4"/>
    <col width="40" customWidth="1" min="5" max="5"/>
  </cols>
  <sheetData>
    <row r="1">
      <c r="A1" s="1" t="inlineStr">
        <is>
          <t>Tanı soruları (puanlanmaz)</t>
        </is>
      </c>
    </row>
    <row r="2">
      <c r="A2" s="3" t="inlineStr">
        <is>
          <t>Bu sorular puanlanmaz. Bir kriteri puanlamadan önce düşünmeyi derinleştirmek ve kör noktaları taramak içindir. Her soru evet, hayır ya da bilinmiyor diye yanıtlanır; bilinmiyor yanıtı deney listesine aktarılır.</t>
        </is>
      </c>
    </row>
    <row r="4">
      <c r="A4" s="4" t="inlineStr">
        <is>
          <t>Grup</t>
        </is>
      </c>
      <c r="B4" s="4" t="inlineStr">
        <is>
          <t>Kriter</t>
        </is>
      </c>
      <c r="C4" s="4" t="inlineStr">
        <is>
          <t>Soru</t>
        </is>
      </c>
      <c r="D4" s="4" t="inlineStr">
        <is>
          <t>Yanıt (evet / hayır / bilinmiyor)</t>
        </is>
      </c>
      <c r="E4" s="4" t="inlineStr">
        <is>
          <t>Not</t>
        </is>
      </c>
    </row>
    <row r="5">
      <c r="A5" s="7" t="inlineStr">
        <is>
          <t>Kapılar</t>
        </is>
      </c>
      <c r="B5" s="14" t="inlineStr">
        <is>
          <t>G1</t>
        </is>
      </c>
      <c r="C5" s="6" t="inlineStr">
        <is>
          <t>Kodun tamamını kurucu mu yazdı; bir işveren ya da müşteri için yazılmış parça var mı?</t>
        </is>
      </c>
    </row>
    <row r="6">
      <c r="A6" s="7" t="inlineStr">
        <is>
          <t>Kapılar</t>
        </is>
      </c>
      <c r="B6" s="14" t="inlineStr">
        <is>
          <t>G1</t>
        </is>
      </c>
      <c r="C6" s="6" t="inlineStr">
        <is>
          <t>Marka adı başka bir şirkete ait bir ürünle karışıyor mu?</t>
        </is>
      </c>
    </row>
    <row r="7">
      <c r="A7" s="7" t="inlineStr">
        <is>
          <t>Kapılar</t>
        </is>
      </c>
      <c r="B7" s="14" t="inlineStr">
        <is>
          <t>G1</t>
        </is>
      </c>
      <c r="C7" s="6" t="inlineStr">
        <is>
          <t>Bağımlılıklar arasında kapalı kaynak satışla çelişen bir lisans (ör. AGPL) var mı?</t>
        </is>
      </c>
    </row>
    <row r="8">
      <c r="A8" s="7" t="inlineStr">
        <is>
          <t>Kapılar</t>
        </is>
      </c>
      <c r="B8" s="14" t="inlineStr">
        <is>
          <t>G1</t>
        </is>
      </c>
      <c r="C8" s="6" t="inlineStr">
        <is>
          <t>Kullanılan veri, görsel, yazı tipi ve şablonların ticari kullanım hakkı var mı?</t>
        </is>
      </c>
    </row>
    <row r="9">
      <c r="A9" s="7" t="inlineStr">
        <is>
          <t>Kapılar</t>
        </is>
      </c>
      <c r="B9" s="14" t="inlineStr">
        <is>
          <t>G2</t>
        </is>
      </c>
      <c r="C9" s="6" t="inlineStr">
        <is>
          <t>Ürün kişisel veri işliyor mu; aydınlatma metni, veri işleme sözleşmesi ve silme yolu hazır mı?</t>
        </is>
      </c>
    </row>
    <row r="10">
      <c r="A10" s="7" t="inlineStr">
        <is>
          <t>Kapılar</t>
        </is>
      </c>
      <c r="B10" s="14" t="inlineStr">
        <is>
          <t>G2</t>
        </is>
      </c>
      <c r="C10" s="6" t="inlineStr">
        <is>
          <t>Özel nitelikli veri (sağlık, kimlik, mali) işleniyor mu?</t>
        </is>
      </c>
    </row>
    <row r="11">
      <c r="A11" s="7" t="inlineStr">
        <is>
          <t>Kapılar</t>
        </is>
      </c>
      <c r="B11" s="14" t="inlineStr">
        <is>
          <t>G2</t>
        </is>
      </c>
      <c r="C11" s="6" t="inlineStr">
        <is>
          <t>Satış için sektörel izin, lisans ya da kayıt gerekiyor mu?</t>
        </is>
      </c>
    </row>
    <row r="12">
      <c r="A12" s="7" t="inlineStr">
        <is>
          <t>Kapılar</t>
        </is>
      </c>
      <c r="B12" s="14" t="inlineStr">
        <is>
          <t>G2</t>
        </is>
      </c>
      <c r="C12" s="6" t="inlineStr">
        <is>
          <t>Bir platformun kullanım koşulları bu kullanımı yasaklıyor mu?</t>
        </is>
      </c>
    </row>
    <row r="13">
      <c r="A13" s="7" t="inlineStr">
        <is>
          <t>Kapılar</t>
        </is>
      </c>
      <c r="B13" s="14" t="inlineStr">
        <is>
          <t>G3</t>
        </is>
      </c>
      <c r="C13" s="6" t="inlineStr">
        <is>
          <t>Alıcı Türkiye'de mi, yurt dışında mı; hangi ödeme yoluyla ödeyecek?</t>
        </is>
      </c>
    </row>
    <row r="14">
      <c r="A14" s="7" t="inlineStr">
        <is>
          <t>Kapılar</t>
        </is>
      </c>
      <c r="B14" s="14" t="inlineStr">
        <is>
          <t>G3</t>
        </is>
      </c>
      <c r="C14" s="6" t="inlineStr">
        <is>
          <t>Sanal POS ya da yasal satıcı (MoR) hesabı açıldı mı; bir test ödemesi yapıldı mı?</t>
        </is>
      </c>
    </row>
    <row r="15">
      <c r="A15" s="7" t="inlineStr">
        <is>
          <t>Kapılar</t>
        </is>
      </c>
      <c r="B15" s="14" t="inlineStr">
        <is>
          <t>G3</t>
        </is>
      </c>
      <c r="C15" s="6" t="inlineStr">
        <is>
          <t>Fatura kim adına, hangi vergi düzeniyle kesilecek?</t>
        </is>
      </c>
    </row>
    <row r="16">
      <c r="A16" s="7" t="inlineStr">
        <is>
          <t>Kapılar</t>
        </is>
      </c>
      <c r="B16" s="14" t="inlineStr">
        <is>
          <t>G3</t>
        </is>
      </c>
      <c r="C16" s="6" t="inlineStr">
        <is>
          <t>Ödeme sağlayıcının bu ürün türünü kabul ettiği doğrulandı mı?</t>
        </is>
      </c>
    </row>
    <row r="17">
      <c r="A17" s="7" t="inlineStr">
        <is>
          <t>Kapılar</t>
        </is>
      </c>
      <c r="B17" s="14" t="inlineStr">
        <is>
          <t>G4</t>
        </is>
      </c>
      <c r="C17" s="6" t="inlineStr">
        <is>
          <t>Ödeme yapacak 20 kişi ya da şirket bugün ismen yazılabilir mi?</t>
        </is>
      </c>
    </row>
    <row r="18">
      <c r="A18" s="7" t="inlineStr">
        <is>
          <t>Kapılar</t>
        </is>
      </c>
      <c r="B18" s="14" t="inlineStr">
        <is>
          <t>G4</t>
        </is>
      </c>
      <c r="C18" s="6" t="inlineStr">
        <is>
          <t>Listedeki kişiler sorunu yaşayan mı, yoksa yalnız tanıdık mı?</t>
        </is>
      </c>
    </row>
    <row r="19">
      <c r="A19" s="7" t="inlineStr">
        <is>
          <t>Kapılar</t>
        </is>
      </c>
      <c r="B19" s="14" t="inlineStr">
        <is>
          <t>G4</t>
        </is>
      </c>
      <c r="C19" s="6" t="inlineStr">
        <is>
          <t>Kullanıcı ile ödeyen aynı kişi değilse ödeyen kim?</t>
        </is>
      </c>
    </row>
    <row r="20">
      <c r="A20" s="7" t="inlineStr">
        <is>
          <t>Kapılar</t>
        </is>
      </c>
      <c r="B20" s="14" t="inlineStr">
        <is>
          <t>G5</t>
        </is>
      </c>
      <c r="C20" s="6" t="inlineStr">
        <is>
          <t>Alıcının ürünü bulacağı yer adıyla söylenebiliyor mu: hangi grup, dizin, ortak, arama sorgusu?</t>
        </is>
      </c>
    </row>
    <row r="21">
      <c r="A21" s="7" t="inlineStr">
        <is>
          <t>Kapılar</t>
        </is>
      </c>
      <c r="B21" s="14" t="inlineStr">
        <is>
          <t>G5</t>
        </is>
      </c>
      <c r="C21" s="6" t="inlineStr">
        <is>
          <t>Bu kanalın ilk adımı bu hafta atılabilir mi?</t>
        </is>
      </c>
    </row>
    <row r="22">
      <c r="A22" s="7" t="inlineStr">
        <is>
          <t>Kapılar</t>
        </is>
      </c>
      <c r="B22" s="14" t="inlineStr">
        <is>
          <t>G5</t>
        </is>
      </c>
      <c r="C22" s="6" t="inlineStr">
        <is>
          <t>Birincil kanal çalışmazsa yedek ne?</t>
        </is>
      </c>
    </row>
    <row r="23">
      <c r="A23" s="7" t="inlineStr">
        <is>
          <t>Kapılar</t>
        </is>
      </c>
      <c r="B23" s="14" t="inlineStr">
        <is>
          <t>G6</t>
        </is>
      </c>
      <c r="C23" s="6" t="inlineStr">
        <is>
          <t>İlk ödeme alınabilecek en küçük kapsam yazıldı mı; kalan iş listesi var mı?</t>
        </is>
      </c>
    </row>
    <row r="24">
      <c r="A24" s="7" t="inlineStr">
        <is>
          <t>Kapılar</t>
        </is>
      </c>
      <c r="B24" s="14" t="inlineStr">
        <is>
          <t>G6</t>
        </is>
      </c>
      <c r="C24" s="6" t="inlineStr">
        <is>
          <t>Kalan efor tahmini için kötü, beklenen ve iyi durum ayrı mı?</t>
        </is>
      </c>
    </row>
    <row r="25">
      <c r="A25" s="7" t="inlineStr">
        <is>
          <t>Kapılar</t>
        </is>
      </c>
      <c r="B25" s="14" t="inlineStr">
        <is>
          <t>G6</t>
        </is>
      </c>
      <c r="C25" s="6" t="inlineStr">
        <is>
          <t>Alıcının satın alma kararı kaç haftada çıkıyor?</t>
        </is>
      </c>
    </row>
    <row r="26">
      <c r="A26" s="7" t="inlineStr">
        <is>
          <t>Kapılar</t>
        </is>
      </c>
      <c r="B26" s="14" t="inlineStr">
        <is>
          <t>G7</t>
        </is>
      </c>
      <c r="C26" s="6" t="inlineStr">
        <is>
          <t>İlk tahsilata kadar hangi nakit harcamaları zorunlu?</t>
        </is>
      </c>
    </row>
    <row r="27">
      <c r="A27" s="7" t="inlineStr">
        <is>
          <t>Kapılar</t>
        </is>
      </c>
      <c r="B27" s="14" t="inlineStr">
        <is>
          <t>G7</t>
        </is>
      </c>
      <c r="C27" s="6" t="inlineStr">
        <is>
          <t>Bu harcamalar tavanın altında mı; tavan yazılı mı?</t>
        </is>
      </c>
    </row>
    <row r="28">
      <c r="A28" s="7" t="inlineStr">
        <is>
          <t>Kapılar</t>
        </is>
      </c>
      <c r="B28" s="14" t="inlineStr">
        <is>
          <t>G8</t>
        </is>
      </c>
      <c r="C28" s="6" t="inlineStr">
        <is>
          <t>İkinci müşteriye birinci müşteriye verilenin aynısı verilebilir mi?</t>
        </is>
      </c>
    </row>
    <row r="29">
      <c r="A29" s="7" t="inlineStr">
        <is>
          <t>Kapılar</t>
        </is>
      </c>
      <c r="B29" s="14" t="inlineStr">
        <is>
          <t>G8</t>
        </is>
      </c>
      <c r="C29" s="6" t="inlineStr">
        <is>
          <t>Hizmetse kapsam, süre ve fiyat sabit mi; kapsam dışı işler yazılı mı?</t>
        </is>
      </c>
    </row>
    <row r="30">
      <c r="A30" s="7" t="inlineStr">
        <is>
          <t>Talep ve ödeme gerekçesi</t>
        </is>
      </c>
      <c r="B30" s="14" t="inlineStr">
        <is>
          <t>A1</t>
        </is>
      </c>
      <c r="C30" s="6" t="inlineStr">
        <is>
          <t>Sorun çözülmezse alıcı ayda kaç lira ya da kaç saat kaybediyor?</t>
        </is>
      </c>
    </row>
    <row r="31">
      <c r="A31" s="7" t="inlineStr">
        <is>
          <t>Talep ve ödeme gerekçesi</t>
        </is>
      </c>
      <c r="B31" s="14" t="inlineStr">
        <is>
          <t>A1</t>
        </is>
      </c>
      <c r="C31" s="6" t="inlineStr">
        <is>
          <t>Kayıp bir belgede, faturada ya da cezada görünüyor mu?</t>
        </is>
      </c>
    </row>
    <row r="32">
      <c r="A32" s="7" t="inlineStr">
        <is>
          <t>Talep ve ödeme gerekçesi</t>
        </is>
      </c>
      <c r="B32" s="14" t="inlineStr">
        <is>
          <t>A1</t>
        </is>
      </c>
      <c r="C32" s="6" t="inlineStr">
        <is>
          <t>Sorun gelir, maliyet, iş gücü, risk, gecikme, uyum ya da kapasiteden hangisine dokunuyor?</t>
        </is>
      </c>
    </row>
    <row r="33">
      <c r="A33" s="7" t="inlineStr">
        <is>
          <t>Talep ve ödeme gerekçesi</t>
        </is>
      </c>
      <c r="B33" s="14" t="inlineStr">
        <is>
          <t>A1</t>
        </is>
      </c>
      <c r="C33" s="6" t="inlineStr">
        <is>
          <t>Alıcı bu sorunu ilk üç önceliği arasında sayıyor mu?</t>
        </is>
      </c>
    </row>
    <row r="34">
      <c r="A34" s="7" t="inlineStr">
        <is>
          <t>Talep ve ödeme gerekçesi</t>
        </is>
      </c>
      <c r="B34" s="14" t="inlineStr">
        <is>
          <t>A1</t>
        </is>
      </c>
      <c r="C34" s="6" t="inlineStr">
        <is>
          <t>Zaman kazancı varsa alıcı o zamanı gerçekten başka bir işe çevirebiliyor mu?</t>
        </is>
      </c>
    </row>
    <row r="35">
      <c r="A35" s="7" t="inlineStr">
        <is>
          <t>Talep ve ödeme gerekçesi</t>
        </is>
      </c>
      <c r="B35" s="14" t="inlineStr">
        <is>
          <t>A2</t>
        </is>
      </c>
      <c r="C35" s="6" t="inlineStr">
        <is>
          <t>Satın almayı bugüne çeken olay ne: son tarih, denetim, zam, yeni açılış, mevzuat?</t>
        </is>
      </c>
    </row>
    <row r="36">
      <c r="A36" s="7" t="inlineStr">
        <is>
          <t>Talep ve ödeme gerekçesi</t>
        </is>
      </c>
      <c r="B36" s="14" t="inlineStr">
        <is>
          <t>A2</t>
        </is>
      </c>
      <c r="C36" s="6" t="inlineStr">
        <is>
          <t>Bu olay yılda kaç kez oluyor?</t>
        </is>
      </c>
    </row>
    <row r="37">
      <c r="A37" s="7" t="inlineStr">
        <is>
          <t>Talep ve ödeme gerekçesi</t>
        </is>
      </c>
      <c r="B37" s="14" t="inlineStr">
        <is>
          <t>A2</t>
        </is>
      </c>
      <c r="C37" s="6" t="inlineStr">
        <is>
          <t>Alıcı kararı erteleyebilir mi; ertelerse ne kaybeder?</t>
        </is>
      </c>
    </row>
    <row r="38">
      <c r="A38" s="7" t="inlineStr">
        <is>
          <t>Talep ve ödeme gerekçesi</t>
        </is>
      </c>
      <c r="B38" s="14" t="inlineStr">
        <is>
          <t>A2</t>
        </is>
      </c>
      <c r="C38" s="6" t="inlineStr">
        <is>
          <t>Önümüzdeki altı ayda bu tetikleyicinin gerçekleşeceği bir tarih var mı?</t>
        </is>
      </c>
    </row>
    <row r="39">
      <c r="A39" s="7" t="inlineStr">
        <is>
          <t>Talep ve ödeme gerekçesi</t>
        </is>
      </c>
      <c r="B39" s="14" t="inlineStr">
        <is>
          <t>A2</t>
        </is>
      </c>
      <c r="C39" s="6" t="inlineStr">
        <is>
          <t>Alıcının bütçe dönemi bu pencereye denk geliyor mu?</t>
        </is>
      </c>
    </row>
    <row r="40">
      <c r="A40" s="7" t="inlineStr">
        <is>
          <t>Talep ve ödeme gerekçesi</t>
        </is>
      </c>
      <c r="B40" s="14" t="inlineStr">
        <is>
          <t>A3</t>
        </is>
      </c>
      <c r="C40" s="6" t="inlineStr">
        <is>
          <t>Alıcı sorunu hangi kelimelerle anlatıyor?</t>
        </is>
      </c>
    </row>
    <row r="41">
      <c r="A41" s="7" t="inlineStr">
        <is>
          <t>Talep ve ödeme gerekçesi</t>
        </is>
      </c>
      <c r="B41" s="14" t="inlineStr">
        <is>
          <t>A3</t>
        </is>
      </c>
      <c r="C41" s="6" t="inlineStr">
        <is>
          <t>Bu kelimelerle arama yapılıyor mu?</t>
        </is>
      </c>
    </row>
    <row r="42">
      <c r="A42" s="7" t="inlineStr">
        <is>
          <t>Talep ve ödeme gerekçesi</t>
        </is>
      </c>
      <c r="B42" s="14" t="inlineStr">
        <is>
          <t>A3</t>
        </is>
      </c>
      <c r="C42" s="6" t="inlineStr">
        <is>
          <t>Alıcı bugün teklif topluyor ya da bir rakibi deniyor mu?</t>
        </is>
      </c>
    </row>
    <row r="43">
      <c r="A43" s="7" t="inlineStr">
        <is>
          <t>Talep ve ödeme gerekçesi</t>
        </is>
      </c>
      <c r="B43" s="14" t="inlineStr">
        <is>
          <t>A3</t>
        </is>
      </c>
      <c r="C43" s="6" t="inlineStr">
        <is>
          <t>Sorunu önce anlatmak gerekiyorsa bunu kim, hangi saatle yapacak?</t>
        </is>
      </c>
    </row>
    <row r="44">
      <c r="A44" s="7" t="inlineStr">
        <is>
          <t>Talep ve ödeme gerekçesi</t>
        </is>
      </c>
      <c r="B44" s="14" t="inlineStr">
        <is>
          <t>A4</t>
        </is>
      </c>
      <c r="C44" s="6" t="inlineStr">
        <is>
          <t>Alıcı bu işi bugün nasıl yapıyor: Excel, danışman, personel, başka yazılım?</t>
        </is>
      </c>
    </row>
    <row r="45">
      <c r="A45" s="7" t="inlineStr">
        <is>
          <t>Talep ve ödeme gerekçesi</t>
        </is>
      </c>
      <c r="B45" s="14" t="inlineStr">
        <is>
          <t>A4</t>
        </is>
      </c>
      <c r="C45" s="6" t="inlineStr">
        <is>
          <t>Bugünkü çözüme yılda ne ödüyor?</t>
        </is>
      </c>
    </row>
    <row r="46">
      <c r="A46" s="7" t="inlineStr">
        <is>
          <t>Talep ve ödeme gerekçesi</t>
        </is>
      </c>
      <c r="B46" s="14" t="inlineStr">
        <is>
          <t>A4</t>
        </is>
      </c>
      <c r="C46" s="6" t="inlineStr">
        <is>
          <t>Bugünkü çözümün en çok şikâyet edilen yanı ne?</t>
        </is>
      </c>
    </row>
    <row r="47">
      <c r="A47" s="7" t="inlineStr">
        <is>
          <t>Talep ve ödeme gerekçesi</t>
        </is>
      </c>
      <c r="B47" s="14" t="inlineStr">
        <is>
          <t>A4</t>
        </is>
      </c>
      <c r="C47" s="6" t="inlineStr">
        <is>
          <t>Hiçbir şey yapmamak alıcı için gerçek bir seçenek mi?</t>
        </is>
      </c>
    </row>
    <row r="48">
      <c r="A48" s="7" t="inlineStr">
        <is>
          <t>Talep ve ödeme gerekçesi</t>
        </is>
      </c>
      <c r="B48" s="14" t="inlineStr">
        <is>
          <t>A5</t>
        </is>
      </c>
      <c r="C48" s="6" t="inlineStr">
        <is>
          <t>Ürünü kullanacak kişi, parayı ödeyecek kişi ve bütçeyi onaylayan kişi aynı mı?</t>
        </is>
      </c>
    </row>
    <row r="49">
      <c r="A49" s="7" t="inlineStr">
        <is>
          <t>Talep ve ödeme gerekçesi</t>
        </is>
      </c>
      <c r="B49" s="14" t="inlineStr">
        <is>
          <t>A5</t>
        </is>
      </c>
      <c r="C49" s="6" t="inlineStr">
        <is>
          <t>Satın alma için kaç imza gerekiyor?</t>
        </is>
      </c>
    </row>
    <row r="50">
      <c r="A50" s="7" t="inlineStr">
        <is>
          <t>Talep ve ödeme gerekçesi</t>
        </is>
      </c>
      <c r="B50" s="14" t="inlineStr">
        <is>
          <t>A5</t>
        </is>
      </c>
      <c r="C50" s="6" t="inlineStr">
        <is>
          <t>Kullanıcı ödeyeni nasıl ikna edecek; eline ne verilecek?</t>
        </is>
      </c>
    </row>
    <row r="51">
      <c r="A51" s="7" t="inlineStr">
        <is>
          <t>Talep ve ödeme gerekçesi</t>
        </is>
      </c>
      <c r="B51" s="14" t="inlineStr">
        <is>
          <t>A5</t>
        </is>
      </c>
      <c r="C51" s="6" t="inlineStr">
        <is>
          <t>Bilgi işlem ya da hukuk birimi onayı gerekiyor mu?</t>
        </is>
      </c>
    </row>
    <row r="52">
      <c r="A52" s="7" t="inlineStr">
        <is>
          <t>Talep ve ödeme gerekçesi</t>
        </is>
      </c>
      <c r="B52" s="14" t="inlineStr">
        <is>
          <t>A6</t>
        </is>
      </c>
      <c r="C52" s="6" t="inlineStr">
        <is>
          <t>Bu fiyatı bir alıcıya söylediniz mi; ne dedi?</t>
        </is>
      </c>
    </row>
    <row r="53">
      <c r="A53" s="7" t="inlineStr">
        <is>
          <t>Talep ve ödeme gerekçesi</t>
        </is>
      </c>
      <c r="B53" s="14" t="inlineStr">
        <is>
          <t>A6</t>
        </is>
      </c>
      <c r="C53" s="6" t="inlineStr">
        <is>
          <t>Ön ödeme, kapora ya da ücretli pilot isteyen oldu mu?</t>
        </is>
      </c>
    </row>
    <row r="54">
      <c r="A54" s="7" t="inlineStr">
        <is>
          <t>Talep ve ödeme gerekçesi</t>
        </is>
      </c>
      <c r="B54" s="14" t="inlineStr">
        <is>
          <t>A6</t>
        </is>
      </c>
      <c r="C54" s="6" t="inlineStr">
        <is>
          <t>Ödeme yapan varsa tanıdık mı, bağımsız mı; standart ürüne mi, özel işe mi ödedi?</t>
        </is>
      </c>
    </row>
    <row r="55">
      <c r="A55" s="7" t="inlineStr">
        <is>
          <t>Talep ve ödeme gerekçesi</t>
        </is>
      </c>
      <c r="B55" s="14" t="inlineStr">
        <is>
          <t>A6</t>
        </is>
      </c>
      <c r="C55" s="6" t="inlineStr">
        <is>
          <t>Aynı alıcı benzer bir araca bugün ödeme yapıyor mu; ne kadar?</t>
        </is>
      </c>
    </row>
    <row r="56">
      <c r="A56" s="7" t="inlineStr">
        <is>
          <t>Talep ve ödeme gerekçesi</t>
        </is>
      </c>
      <c r="B56" s="14" t="inlineStr">
        <is>
          <t>A6</t>
        </is>
      </c>
      <c r="C56" s="6" t="inlineStr">
        <is>
          <t>Fiyatı ikiye katlasanız kim vazgeçer?</t>
        </is>
      </c>
    </row>
    <row r="57">
      <c r="A57" s="7" t="inlineStr">
        <is>
          <t>Reklamsız erişim ve dağıtım</t>
        </is>
      </c>
      <c r="B57" s="14" t="inlineStr">
        <is>
          <t>B1</t>
        </is>
      </c>
      <c r="C57" s="6" t="inlineStr">
        <is>
          <t>İlk 20 alıcının adını bugün yazabilir misiniz?</t>
        </is>
      </c>
    </row>
    <row r="58">
      <c r="A58" s="7" t="inlineStr">
        <is>
          <t>Reklamsız erişim ve dağıtım</t>
        </is>
      </c>
      <c r="B58" s="14" t="inlineStr">
        <is>
          <t>B1</t>
        </is>
      </c>
      <c r="C58" s="6" t="inlineStr">
        <is>
          <t>Kaçı doğrudan tanıdık, kaçı ikinci derece bağlantı?</t>
        </is>
      </c>
    </row>
    <row r="59">
      <c r="A59" s="7" t="inlineStr">
        <is>
          <t>Reklamsız erişim ve dağıtım</t>
        </is>
      </c>
      <c r="B59" s="14" t="inlineStr">
        <is>
          <t>B1</t>
        </is>
      </c>
      <c r="C59" s="6" t="inlineStr">
        <is>
          <t>Bu kişilere bir hafta içinde ulaşacak yol ne: telefon, WhatsApp, LinkedIn, yüz yüze?</t>
        </is>
      </c>
    </row>
    <row r="60">
      <c r="A60" s="7" t="inlineStr">
        <is>
          <t>Reklamsız erişim ve dağıtım</t>
        </is>
      </c>
      <c r="B60" s="14" t="inlineStr">
        <is>
          <t>B1</t>
        </is>
      </c>
      <c r="C60" s="6" t="inlineStr">
        <is>
          <t>Mevcut ya da eski müşterileriniz arasında bu alıcı tipinden kaç kişi var?</t>
        </is>
      </c>
    </row>
    <row r="61">
      <c r="A61" s="7" t="inlineStr">
        <is>
          <t>Reklamsız erişim ve dağıtım</t>
        </is>
      </c>
      <c r="B61" s="14" t="inlineStr">
        <is>
          <t>B1</t>
        </is>
      </c>
      <c r="C61" s="6" t="inlineStr">
        <is>
          <t>Sizi bu alıcılara tanıştırabilecek üç kişi kim?</t>
        </is>
      </c>
    </row>
    <row r="62">
      <c r="A62" s="7" t="inlineStr">
        <is>
          <t>Reklamsız erişim ve dağıtım</t>
        </is>
      </c>
      <c r="B62" s="14" t="inlineStr">
        <is>
          <t>B1</t>
        </is>
      </c>
      <c r="C62" s="6" t="inlineStr">
        <is>
          <t>Sektörü tanımak ile alıcıya ulaşabilmek arasındaki fark bu seçenekte ne kadar?</t>
        </is>
      </c>
    </row>
    <row r="63">
      <c r="A63" s="7" t="inlineStr">
        <is>
          <t>Reklamsız erişim ve dağıtım</t>
        </is>
      </c>
      <c r="B63" s="14" t="inlineStr">
        <is>
          <t>B2</t>
        </is>
      </c>
      <c r="C63" s="6" t="inlineStr">
        <is>
          <t>Alıcı sorunu adıyla arıyor mu; hangi sorguyla?</t>
        </is>
      </c>
    </row>
    <row r="64">
      <c r="A64" s="7" t="inlineStr">
        <is>
          <t>Reklamsız erişim ve dağıtım</t>
        </is>
      </c>
      <c r="B64" s="14" t="inlineStr">
        <is>
          <t>B2</t>
        </is>
      </c>
      <c r="C64" s="6" t="inlineStr">
        <is>
          <t>Ürün hazır bir pazar yerinde ya da dizinde listelenebilir mi?</t>
        </is>
      </c>
    </row>
    <row r="65">
      <c r="A65" s="7" t="inlineStr">
        <is>
          <t>Reklamsız erişim ve dağıtım</t>
        </is>
      </c>
      <c r="B65" s="14" t="inlineStr">
        <is>
          <t>B2</t>
        </is>
      </c>
      <c r="C65" s="6" t="inlineStr">
        <is>
          <t>O pazar yeri Türkiye'ye ödeme aktarıyor mu?</t>
        </is>
      </c>
    </row>
    <row r="66">
      <c r="A66" s="7" t="inlineStr">
        <is>
          <t>Reklamsız erişim ve dağıtım</t>
        </is>
      </c>
      <c r="B66" s="14" t="inlineStr">
        <is>
          <t>B2</t>
        </is>
      </c>
      <c r="C66" s="6" t="inlineStr">
        <is>
          <t>Arama sonuçlarında ilk sayfada kimler var; onların yanında görünmek kaç ay sürer?</t>
        </is>
      </c>
    </row>
    <row r="67">
      <c r="A67" s="7" t="inlineStr">
        <is>
          <t>Reklamsız erişim ve dağıtım</t>
        </is>
      </c>
      <c r="B67" s="14" t="inlineStr">
        <is>
          <t>B2</t>
        </is>
      </c>
      <c r="C67" s="6" t="inlineStr">
        <is>
          <t>Yapay zekâ asistanlarının yanıtlarında bu soru için kim öneriliyor?</t>
        </is>
      </c>
    </row>
    <row r="68">
      <c r="A68" s="7" t="inlineStr">
        <is>
          <t>Reklamsız erişim ve dağıtım</t>
        </is>
      </c>
      <c r="B68" s="14" t="inlineStr">
        <is>
          <t>B3</t>
        </is>
      </c>
      <c r="C68" s="6" t="inlineStr">
        <is>
          <t>Bu fiyat, seçilen kanalın müşteri başına maliyetini taşıyor mu?</t>
        </is>
      </c>
    </row>
    <row r="69">
      <c r="A69" s="7" t="inlineStr">
        <is>
          <t>Reklamsız erişim ve dağıtım</t>
        </is>
      </c>
      <c r="B69" s="14" t="inlineStr">
        <is>
          <t>B3</t>
        </is>
      </c>
      <c r="C69" s="6" t="inlineStr">
        <is>
          <t>Ucuz bir ürünü tek tek görüşerek mi, pahalı bir ürünü yalnız aramayla mı satmaya çalışıyorsunuz?</t>
        </is>
      </c>
    </row>
    <row r="70">
      <c r="A70" s="7" t="inlineStr">
        <is>
          <t>Reklamsız erişim ve dağıtım</t>
        </is>
      </c>
      <c r="B70" s="14" t="inlineStr">
        <is>
          <t>B3</t>
        </is>
      </c>
      <c r="C70" s="6" t="inlineStr">
        <is>
          <t>Bir satışı kapatmak kaç kurucu saati tutuyor; bu saatin bedeli fiyatın yüzde kaçı?</t>
        </is>
      </c>
    </row>
    <row r="71">
      <c r="A71" s="7" t="inlineStr">
        <is>
          <t>Reklamsız erişim ve dağıtım</t>
        </is>
      </c>
      <c r="B71" s="14" t="inlineStr">
        <is>
          <t>B3</t>
        </is>
      </c>
      <c r="C71" s="6" t="inlineStr">
        <is>
          <t>Bu kanal bu fiyatla daha önce bir satış getirdi mi?</t>
        </is>
      </c>
    </row>
    <row r="72">
      <c r="A72" s="7" t="inlineStr">
        <is>
          <t>Reklamsız erişim ve dağıtım</t>
        </is>
      </c>
      <c r="B72" s="14" t="inlineStr">
        <is>
          <t>B4</t>
        </is>
      </c>
      <c r="C72" s="6" t="inlineStr">
        <is>
          <t>Ürünün çıktısını kullanıcı dışında kim görüyor?</t>
        </is>
      </c>
    </row>
    <row r="73">
      <c r="A73" s="7" t="inlineStr">
        <is>
          <t>Reklamsız erişim ve dağıtım</t>
        </is>
      </c>
      <c r="B73" s="14" t="inlineStr">
        <is>
          <t>B4</t>
        </is>
      </c>
      <c r="C73" s="6" t="inlineStr">
        <is>
          <t>Çıktıyı gören kişi ürünün alıcısı olabilir mi, yoksa yalnız son kullanıcı mı?</t>
        </is>
      </c>
    </row>
    <row r="74">
      <c r="A74" s="7" t="inlineStr">
        <is>
          <t>Reklamsız erişim ve dağıtım</t>
        </is>
      </c>
      <c r="B74" s="14" t="inlineStr">
        <is>
          <t>B4</t>
        </is>
      </c>
      <c r="C74" s="6" t="inlineStr">
        <is>
          <t>Kullanıcının başkasını davet etmesi kendi işini kolaylaştırıyor mu?</t>
        </is>
      </c>
    </row>
    <row r="75">
      <c r="A75" s="7" t="inlineStr">
        <is>
          <t>Reklamsız erişim ve dağıtım</t>
        </is>
      </c>
      <c r="B75" s="14" t="inlineStr">
        <is>
          <t>B4</t>
        </is>
      </c>
      <c r="C75" s="6" t="inlineStr">
        <is>
          <t>Bu görünme haftada kaç kez tekrarlanıyor?</t>
        </is>
      </c>
    </row>
    <row r="76">
      <c r="A76" s="7" t="inlineStr">
        <is>
          <t>Reklamsız erişim ve dağıtım</t>
        </is>
      </c>
      <c r="B76" s="14" t="inlineStr">
        <is>
          <t>B4</t>
        </is>
      </c>
      <c r="C76" s="6" t="inlineStr">
        <is>
          <t>Ürün imzası ya da paylaşım alıcının gizlilik beklentisiyle çelişiyor mu?</t>
        </is>
      </c>
    </row>
    <row r="77">
      <c r="A77" s="7" t="inlineStr">
        <is>
          <t>Reklamsız erişim ve dağıtım</t>
        </is>
      </c>
      <c r="B77" s="14" t="inlineStr">
        <is>
          <t>B4</t>
        </is>
      </c>
      <c r="C77" s="6" t="inlineStr">
        <is>
          <t>Bir kullanıcı ortalama kaç yeni kişiye ürünü gösteriyor; kaçı deniyor?</t>
        </is>
      </c>
    </row>
    <row r="78">
      <c r="A78" s="7" t="inlineStr">
        <is>
          <t>Reklamsız erişim ve dağıtım</t>
        </is>
      </c>
      <c r="B78" s="14" t="inlineStr">
        <is>
          <t>B5</t>
        </is>
      </c>
      <c r="C78" s="6" t="inlineStr">
        <is>
          <t>Alıcılar aynı dernekte, odada, grupta ya da fuarda buluşuyor mu?</t>
        </is>
      </c>
    </row>
    <row r="79">
      <c r="A79" s="7" t="inlineStr">
        <is>
          <t>Reklamsız erişim ve dağıtım</t>
        </is>
      </c>
      <c r="B79" s="14" t="inlineStr">
        <is>
          <t>B5</t>
        </is>
      </c>
      <c r="C79" s="6" t="inlineStr">
        <is>
          <t>Ürünü kendi müşterisine önerecek bir aracı var mı: mali müşavir, bayi, ajans, danışman?</t>
        </is>
      </c>
    </row>
    <row r="80">
      <c r="A80" s="7" t="inlineStr">
        <is>
          <t>Reklamsız erişim ve dağıtım</t>
        </is>
      </c>
      <c r="B80" s="14" t="inlineStr">
        <is>
          <t>B5</t>
        </is>
      </c>
      <c r="C80" s="6" t="inlineStr">
        <is>
          <t>Aracının bundan kazancı ne?</t>
        </is>
      </c>
    </row>
    <row r="81">
      <c r="A81" s="7" t="inlineStr">
        <is>
          <t>Reklamsız erişim ve dağıtım</t>
        </is>
      </c>
      <c r="B81" s="14" t="inlineStr">
        <is>
          <t>B5</t>
        </is>
      </c>
      <c r="C81" s="6" t="inlineStr">
        <is>
          <t>Bir ortak kaç son müşteriye erişim açıyor?</t>
        </is>
      </c>
    </row>
    <row r="82">
      <c r="A82" s="7" t="inlineStr">
        <is>
          <t>Reklamsız erişim ve dağıtım</t>
        </is>
      </c>
      <c r="B82" s="14" t="inlineStr">
        <is>
          <t>B6</t>
        </is>
      </c>
      <c r="C82" s="6" t="inlineStr">
        <is>
          <t>Satışların yüzde kaçı tek bir kanaldan gelecek?</t>
        </is>
      </c>
    </row>
    <row r="83">
      <c r="A83" s="7" t="inlineStr">
        <is>
          <t>Reklamsız erişim ve dağıtım</t>
        </is>
      </c>
      <c r="B83" s="14" t="inlineStr">
        <is>
          <t>B6</t>
        </is>
      </c>
      <c r="C83" s="6" t="inlineStr">
        <is>
          <t>O kanalın kuralı, komisyonu ya da sıralaması değişirse ne olur?</t>
        </is>
      </c>
    </row>
    <row r="84">
      <c r="A84" s="7" t="inlineStr">
        <is>
          <t>Reklamsız erişim ve dağıtım</t>
        </is>
      </c>
      <c r="B84" s="14" t="inlineStr">
        <is>
          <t>B6</t>
        </is>
      </c>
      <c r="C84" s="6" t="inlineStr">
        <is>
          <t>Tek bir kişiyle ilişki bozulursa satış durur mu?</t>
        </is>
      </c>
    </row>
    <row r="85">
      <c r="A85" s="7" t="inlineStr">
        <is>
          <t>Nakde hız ve satın alma kolaylığı</t>
        </is>
      </c>
      <c r="B85" s="14" t="inlineStr">
        <is>
          <t>C1</t>
        </is>
      </c>
      <c r="C85" s="6" t="inlineStr">
        <is>
          <t>Bugün başlansa ilk para hangi tarihte hesaba girer?</t>
        </is>
      </c>
    </row>
    <row r="86">
      <c r="A86" s="7" t="inlineStr">
        <is>
          <t>Nakde hız ve satın alma kolaylığı</t>
        </is>
      </c>
      <c r="B86" s="14" t="inlineStr">
        <is>
          <t>C1</t>
        </is>
      </c>
      <c r="C86" s="6" t="inlineStr">
        <is>
          <t>Bu tarihi geciktirebilecek üç şey ne?</t>
        </is>
      </c>
    </row>
    <row r="87">
      <c r="A87" s="7" t="inlineStr">
        <is>
          <t>Nakde hız ve satın alma kolaylığı</t>
        </is>
      </c>
      <c r="B87" s="14" t="inlineStr">
        <is>
          <t>C1</t>
        </is>
      </c>
      <c r="C87" s="6" t="inlineStr">
        <is>
          <t>Fatura kesmek ile tahsil etmek arasında kaç gün var?</t>
        </is>
      </c>
    </row>
    <row r="88">
      <c r="A88" s="7" t="inlineStr">
        <is>
          <t>Nakde hız ve satın alma kolaylığı</t>
        </is>
      </c>
      <c r="B88" s="14" t="inlineStr">
        <is>
          <t>C1</t>
        </is>
      </c>
      <c r="C88" s="6" t="inlineStr">
        <is>
          <t>Peşin ya da kartla ödeme alınabiliyor mu?</t>
        </is>
      </c>
    </row>
    <row r="89">
      <c r="A89" s="7" t="inlineStr">
        <is>
          <t>Nakde hız ve satın alma kolaylığı</t>
        </is>
      </c>
      <c r="B89" s="14" t="inlineStr">
        <is>
          <t>C2</t>
        </is>
      </c>
      <c r="C89" s="6" t="inlineStr">
        <is>
          <t>İlk ödeme alınabilecek kapsama kalan iş kalem kalem yazıldı mı?</t>
        </is>
      </c>
    </row>
    <row r="90">
      <c r="A90" s="7" t="inlineStr">
        <is>
          <t>Nakde hız ve satın alma kolaylığı</t>
        </is>
      </c>
      <c r="B90" s="14" t="inlineStr">
        <is>
          <t>C2</t>
        </is>
      </c>
      <c r="C90" s="6" t="inlineStr">
        <is>
          <t>Bu iş yazılım yazmadan, elle yapılarak hemen sunulabilir mi?</t>
        </is>
      </c>
    </row>
    <row r="91">
      <c r="A91" s="7" t="inlineStr">
        <is>
          <t>Nakde hız ve satın alma kolaylığı</t>
        </is>
      </c>
      <c r="B91" s="14" t="inlineStr">
        <is>
          <t>C2</t>
        </is>
      </c>
      <c r="C91" s="6" t="inlineStr">
        <is>
          <t>Mevcut kod gerçekten çalışıyor mu; en son ne zaman çalıştırıldı?</t>
        </is>
      </c>
    </row>
    <row r="92">
      <c r="A92" s="7" t="inlineStr">
        <is>
          <t>Nakde hız ve satın alma kolaylığı</t>
        </is>
      </c>
      <c r="B92" s="14" t="inlineStr">
        <is>
          <t>C2</t>
        </is>
      </c>
      <c r="C92" s="6" t="inlineStr">
        <is>
          <t>Tahmin iki katına çıkarsa seçenek hâlâ anlamlı mı?</t>
        </is>
      </c>
    </row>
    <row r="93">
      <c r="A93" s="7" t="inlineStr">
        <is>
          <t>Nakde hız ve satın alma kolaylığı</t>
        </is>
      </c>
      <c r="B93" s="14" t="inlineStr">
        <is>
          <t>C2</t>
        </is>
      </c>
      <c r="C93" s="6" t="inlineStr">
        <is>
          <t>Geçmişte harcanan emek bu kararı etkiliyor mu?</t>
        </is>
      </c>
    </row>
    <row r="94">
      <c r="A94" s="7" t="inlineStr">
        <is>
          <t>Nakde hız ve satın alma kolaylığı</t>
        </is>
      </c>
      <c r="B94" s="14" t="inlineStr">
        <is>
          <t>C3</t>
        </is>
      </c>
      <c r="C94" s="6" t="inlineStr">
        <is>
          <t>İlk görüşmeden ödemeye kadar kaç adım var?</t>
        </is>
      </c>
    </row>
    <row r="95">
      <c r="A95" s="7" t="inlineStr">
        <is>
          <t>Nakde hız ve satın alma kolaylığı</t>
        </is>
      </c>
      <c r="B95" s="14" t="inlineStr">
        <is>
          <t>C3</t>
        </is>
      </c>
      <c r="C95" s="6" t="inlineStr">
        <is>
          <t>Karar tek kişide mi?</t>
        </is>
      </c>
    </row>
    <row r="96">
      <c r="A96" s="7" t="inlineStr">
        <is>
          <t>Nakde hız ve satın alma kolaylığı</t>
        </is>
      </c>
      <c r="B96" s="14" t="inlineStr">
        <is>
          <t>C3</t>
        </is>
      </c>
      <c r="C96" s="6" t="inlineStr">
        <is>
          <t>Sözleşme, güvenlik incelemesi ya da satın alma birimi devreye giriyor mu?</t>
        </is>
      </c>
    </row>
    <row r="97">
      <c r="A97" s="7" t="inlineStr">
        <is>
          <t>Nakde hız ve satın alma kolaylığı</t>
        </is>
      </c>
      <c r="B97" s="14" t="inlineStr">
        <is>
          <t>C3</t>
        </is>
      </c>
      <c r="C97" s="6" t="inlineStr">
        <is>
          <t>Benzer bir satış daha önce ne kadar sürdü?</t>
        </is>
      </c>
    </row>
    <row r="98">
      <c r="A98" s="7" t="inlineStr">
        <is>
          <t>Nakde hız ve satın alma kolaylığı</t>
        </is>
      </c>
      <c r="B98" s="14" t="inlineStr">
        <is>
          <t>C4</t>
        </is>
      </c>
      <c r="C98" s="6" t="inlineStr">
        <is>
          <t>Alıcı ilk anlamlı sonucu kaç dakikada görüyor?</t>
        </is>
      </c>
    </row>
    <row r="99">
      <c r="A99" s="7" t="inlineStr">
        <is>
          <t>Nakde hız ve satın alma kolaylığı</t>
        </is>
      </c>
      <c r="B99" s="14" t="inlineStr">
        <is>
          <t>C4</t>
        </is>
      </c>
      <c r="C99" s="6" t="inlineStr">
        <is>
          <t>İlk sonuç için alıcının ne yüklemesi, ne girmesi gerekiyor?</t>
        </is>
      </c>
    </row>
    <row r="100">
      <c r="A100" s="7" t="inlineStr">
        <is>
          <t>Nakde hız ve satın alma kolaylığı</t>
        </is>
      </c>
      <c r="B100" s="14" t="inlineStr">
        <is>
          <t>C4</t>
        </is>
      </c>
      <c r="C100" s="6" t="inlineStr">
        <is>
          <t>Kurulumu alıcı kendisi yapabiliyor mu?</t>
        </is>
      </c>
    </row>
    <row r="101">
      <c r="A101" s="7" t="inlineStr">
        <is>
          <t>Nakde hız ve satın alma kolaylığı</t>
        </is>
      </c>
      <c r="B101" s="14" t="inlineStr">
        <is>
          <t>C5</t>
        </is>
      </c>
      <c r="C101" s="6" t="inlineStr">
        <is>
          <t>Fiyat sayfada yazıyor mu?</t>
        </is>
      </c>
    </row>
    <row r="102">
      <c r="A102" s="7" t="inlineStr">
        <is>
          <t>Nakde hız ve satın alma kolaylığı</t>
        </is>
      </c>
      <c r="B102" s="14" t="inlineStr">
        <is>
          <t>C5</t>
        </is>
      </c>
      <c r="C102" s="6" t="inlineStr">
        <is>
          <t>Ürün görüşme yapmadan denenebiliyor mu?</t>
        </is>
      </c>
    </row>
    <row r="103">
      <c r="A103" s="7" t="inlineStr">
        <is>
          <t>Nakde hız ve satın alma kolaylığı</t>
        </is>
      </c>
      <c r="B103" s="14" t="inlineStr">
        <is>
          <t>C5</t>
        </is>
      </c>
      <c r="C103" s="6" t="inlineStr">
        <is>
          <t>Ödeme görüşme yapmadan tamamlanabiliyor mu?</t>
        </is>
      </c>
    </row>
    <row r="104">
      <c r="A104" s="7" t="inlineStr">
        <is>
          <t>Nakde hız ve satın alma kolaylığı</t>
        </is>
      </c>
      <c r="B104" s="14" t="inlineStr">
        <is>
          <t>C5</t>
        </is>
      </c>
      <c r="C104" s="6" t="inlineStr">
        <is>
          <t>Ücretsiz deneme, satın alma belirsizliğini kaybettirdiği gelirden çok azaltıyor mu?</t>
        </is>
      </c>
    </row>
    <row r="105">
      <c r="A105" s="7" t="inlineStr">
        <is>
          <t>Nakde hız ve satın alma kolaylığı</t>
        </is>
      </c>
      <c r="B105" s="14" t="inlineStr">
        <is>
          <t>C6</t>
        </is>
      </c>
      <c r="C105" s="6" t="inlineStr">
        <is>
          <t>Alıcının mevcut sistemini değiştirmesi gerekiyor mu?</t>
        </is>
      </c>
    </row>
    <row r="106">
      <c r="A106" s="7" t="inlineStr">
        <is>
          <t>Nakde hız ve satın alma kolaylığı</t>
        </is>
      </c>
      <c r="B106" s="14" t="inlineStr">
        <is>
          <t>C6</t>
        </is>
      </c>
      <c r="C106" s="6" t="inlineStr">
        <is>
          <t>Veri taşıma ya da entegrasyon gerekiyor mu; kim yapacak?</t>
        </is>
      </c>
    </row>
    <row r="107">
      <c r="A107" s="7" t="inlineStr">
        <is>
          <t>Nakde hız ve satın alma kolaylığı</t>
        </is>
      </c>
      <c r="B107" s="14" t="inlineStr">
        <is>
          <t>C6</t>
        </is>
      </c>
      <c r="C107" s="6" t="inlineStr">
        <is>
          <t>Alıcı verisini teslim etmeden önce hangi güvenceyi isteyecek?</t>
        </is>
      </c>
    </row>
    <row r="108">
      <c r="A108" s="7" t="inlineStr">
        <is>
          <t>Gelir yoğunluğu ve devamlılık</t>
        </is>
      </c>
      <c r="B108" s="14" t="inlineStr">
        <is>
          <t>D1</t>
        </is>
      </c>
      <c r="C108" s="6" t="inlineStr">
        <is>
          <t>Hedefi kaç satış kapatıyor?</t>
        </is>
      </c>
    </row>
    <row r="109">
      <c r="A109" s="7" t="inlineStr">
        <is>
          <t>Gelir yoğunluğu ve devamlılık</t>
        </is>
      </c>
      <c r="B109" s="14" t="inlineStr">
        <is>
          <t>D1</t>
        </is>
      </c>
      <c r="C109" s="6" t="inlineStr">
        <is>
          <t>Bu sayıda satış için kaç nitelikli adaya ulaşmak gerekiyor?</t>
        </is>
      </c>
    </row>
    <row r="110">
      <c r="A110" s="7" t="inlineStr">
        <is>
          <t>Gelir yoğunluğu ve devamlılık</t>
        </is>
      </c>
      <c r="B110" s="14" t="inlineStr">
        <is>
          <t>D1</t>
        </is>
      </c>
      <c r="C110" s="6" t="inlineStr">
        <is>
          <t>Fiyat iki katına çıksa satış süreci ne kadar ağırlaşır?</t>
        </is>
      </c>
    </row>
    <row r="111">
      <c r="A111" s="7" t="inlineStr">
        <is>
          <t>Gelir yoğunluğu ve devamlılık</t>
        </is>
      </c>
      <c r="B111" s="14" t="inlineStr">
        <is>
          <t>D1</t>
        </is>
      </c>
      <c r="C111" s="6" t="inlineStr">
        <is>
          <t>Fiyat yarıya inse gereken müşteri sayısına reklamsız ulaşılabilir mi?</t>
        </is>
      </c>
    </row>
    <row r="112">
      <c r="A112" s="7" t="inlineStr">
        <is>
          <t>Gelir yoğunluğu ve devamlılık</t>
        </is>
      </c>
      <c r="B112" s="14" t="inlineStr">
        <is>
          <t>D2</t>
        </is>
      </c>
      <c r="C112" s="6" t="inlineStr">
        <is>
          <t>İhtiyaç aylık mı, yıllık mı, bir kerelik mi?</t>
        </is>
      </c>
    </row>
    <row r="113">
      <c r="A113" s="7" t="inlineStr">
        <is>
          <t>Gelir yoğunluğu ve devamlılık</t>
        </is>
      </c>
      <c r="B113" s="14" t="inlineStr">
        <is>
          <t>D2</t>
        </is>
      </c>
      <c r="C113" s="6" t="inlineStr">
        <is>
          <t>Tek seferlik bir ihtiyaç zorla aboneliğe mi çevriliyor?</t>
        </is>
      </c>
    </row>
    <row r="114">
      <c r="A114" s="7" t="inlineStr">
        <is>
          <t>Gelir yoğunluğu ve devamlılık</t>
        </is>
      </c>
      <c r="B114" s="14" t="inlineStr">
        <is>
          <t>D2</t>
        </is>
      </c>
      <c r="C114" s="6" t="inlineStr">
        <is>
          <t>Müşteri üç ay sonra neden hâlâ kullanıyor olacak?</t>
        </is>
      </c>
    </row>
    <row r="115">
      <c r="A115" s="7" t="inlineStr">
        <is>
          <t>Gelir yoğunluğu ve devamlılık</t>
        </is>
      </c>
      <c r="B115" s="14" t="inlineStr">
        <is>
          <t>D2</t>
        </is>
      </c>
      <c r="C115" s="6" t="inlineStr">
        <is>
          <t>Yenileme yoksa yeni müşteri hangi kanaldan düzenli gelecek?</t>
        </is>
      </c>
    </row>
    <row r="116">
      <c r="A116" s="7" t="inlineStr">
        <is>
          <t>Gelir yoğunluğu ve devamlılık</t>
        </is>
      </c>
      <c r="B116" s="14" t="inlineStr">
        <is>
          <t>D3</t>
        </is>
      </c>
      <c r="C116" s="6" t="inlineStr">
        <is>
          <t>Müşteri büyüdükçe ödediği tutar artıyor mu?</t>
        </is>
      </c>
    </row>
    <row r="117">
      <c r="A117" s="7" t="inlineStr">
        <is>
          <t>Gelir yoğunluğu ve devamlılık</t>
        </is>
      </c>
      <c r="B117" s="14" t="inlineStr">
        <is>
          <t>D3</t>
        </is>
      </c>
      <c r="C117" s="6" t="inlineStr">
        <is>
          <t>Fiyat ölçüsü (şube, kullanıcı, rapor, kullanım) müşterinin gördüğü değerle birlikte artıyor mu?</t>
        </is>
      </c>
    </row>
    <row r="118">
      <c r="A118" s="7" t="inlineStr">
        <is>
          <t>Gelir yoğunluğu ve devamlılık</t>
        </is>
      </c>
      <c r="B118" s="14" t="inlineStr">
        <is>
          <t>D3</t>
        </is>
      </c>
      <c r="C118" s="6" t="inlineStr">
        <is>
          <t>Yıllık peşin ödeme sunulabiliyor mu?</t>
        </is>
      </c>
    </row>
    <row r="119">
      <c r="A119" s="7" t="inlineStr">
        <is>
          <t>Kurucu avantajı ve fark</t>
        </is>
      </c>
      <c r="B119" s="14" t="inlineStr">
        <is>
          <t>E1</t>
        </is>
      </c>
      <c r="C119" s="6" t="inlineStr">
        <is>
          <t>Bu sorunu kendi işinizde yaşadınız mı?</t>
        </is>
      </c>
    </row>
    <row r="120">
      <c r="A120" s="7" t="inlineStr">
        <is>
          <t>Kurucu avantajı ve fark</t>
        </is>
      </c>
      <c r="B120" s="14" t="inlineStr">
        <is>
          <t>E1</t>
        </is>
      </c>
      <c r="C120" s="6" t="inlineStr">
        <is>
          <t>Bu alıcı tipine daha önce bir şey sattınız mı?</t>
        </is>
      </c>
    </row>
    <row r="121">
      <c r="A121" s="7" t="inlineStr">
        <is>
          <t>Kurucu avantajı ve fark</t>
        </is>
      </c>
      <c r="B121" s="14" t="inlineStr">
        <is>
          <t>E1</t>
        </is>
      </c>
      <c r="C121" s="6" t="inlineStr">
        <is>
          <t>Alanda sizi referans gösterecek biri var mı?</t>
        </is>
      </c>
    </row>
    <row r="122">
      <c r="A122" s="7" t="inlineStr">
        <is>
          <t>Kurucu avantajı ve fark</t>
        </is>
      </c>
      <c r="B122" s="14" t="inlineStr">
        <is>
          <t>E1</t>
        </is>
      </c>
      <c r="C122" s="6" t="inlineStr">
        <is>
          <t>Dışarıdan başlayan biri altı ayda aynı noktaya gelebilir mi?</t>
        </is>
      </c>
    </row>
    <row r="123">
      <c r="A123" s="7" t="inlineStr">
        <is>
          <t>Kurucu avantajı ve fark</t>
        </is>
      </c>
      <c r="B123" s="14" t="inlineStr">
        <is>
          <t>E2</t>
        </is>
      </c>
      <c r="C123" s="6" t="inlineStr">
        <is>
          <t>Alıcı bunu Excel, ücretsiz bir araç ya da bir yapay zekâ asistanıyla yapabilir mi?</t>
        </is>
      </c>
    </row>
    <row r="124">
      <c r="A124" s="7" t="inlineStr">
        <is>
          <t>Kurucu avantajı ve fark</t>
        </is>
      </c>
      <c r="B124" s="14" t="inlineStr">
        <is>
          <t>E2</t>
        </is>
      </c>
      <c r="C124" s="6" t="inlineStr">
        <is>
          <t>Kullandığı platformun kendi özelliği aynı işi görüyor mu?</t>
        </is>
      </c>
    </row>
    <row r="125">
      <c r="A125" s="7" t="inlineStr">
        <is>
          <t>Kurucu avantajı ve fark</t>
        </is>
      </c>
      <c r="B125" s="14" t="inlineStr">
        <is>
          <t>E2</t>
        </is>
      </c>
      <c r="C125" s="6" t="inlineStr">
        <is>
          <t>Alıcının bugünkü yolunu bırakması için rakamla gösterilebilir neden ne?</t>
        </is>
      </c>
    </row>
    <row r="126">
      <c r="A126" s="7" t="inlineStr">
        <is>
          <t>Kurucu avantajı ve fark</t>
        </is>
      </c>
      <c r="B126" s="14" t="inlineStr">
        <is>
          <t>E2</t>
        </is>
      </c>
      <c r="C126" s="6" t="inlineStr">
        <is>
          <t>Rakip aynı şeyi daha ucuza veriyorsa sizi neden seçsin?</t>
        </is>
      </c>
    </row>
    <row r="127">
      <c r="A127" s="7" t="inlineStr">
        <is>
          <t>Kurucu avantajı ve fark</t>
        </is>
      </c>
      <c r="B127" s="14" t="inlineStr">
        <is>
          <t>E2</t>
        </is>
      </c>
      <c r="C127" s="6" t="inlineStr">
        <is>
          <t>Bu fark bir cümleyle anlatılabiliyor mu?</t>
        </is>
      </c>
    </row>
    <row r="128">
      <c r="A128" s="7" t="inlineStr">
        <is>
          <t>Operasyon yükü ve risk</t>
        </is>
      </c>
      <c r="B128" s="14" t="inlineStr">
        <is>
          <t>F1</t>
        </is>
      </c>
      <c r="C128" s="6" t="inlineStr">
        <is>
          <t>Yeni bir müşteri sizden kaç saat kurulum ve eğitim istiyor?</t>
        </is>
      </c>
    </row>
    <row r="129">
      <c r="A129" s="7" t="inlineStr">
        <is>
          <t>Operasyon yükü ve risk</t>
        </is>
      </c>
      <c r="B129" s="14" t="inlineStr">
        <is>
          <t>F1</t>
        </is>
      </c>
      <c r="C129" s="6" t="inlineStr">
        <is>
          <t>Müşteri başına aylık destek kaç dakika?</t>
        </is>
      </c>
    </row>
    <row r="130">
      <c r="A130" s="7" t="inlineStr">
        <is>
          <t>Operasyon yükü ve risk</t>
        </is>
      </c>
      <c r="B130" s="14" t="inlineStr">
        <is>
          <t>F1</t>
        </is>
      </c>
      <c r="C130" s="6" t="inlineStr">
        <is>
          <t>On müşteri olduğunda haftanızın ne kadarı desteğe gider?</t>
        </is>
      </c>
    </row>
    <row r="131">
      <c r="A131" s="7" t="inlineStr">
        <is>
          <t>Operasyon yükü ve risk</t>
        </is>
      </c>
      <c r="B131" s="14" t="inlineStr">
        <is>
          <t>F1</t>
        </is>
      </c>
      <c r="C131" s="6" t="inlineStr">
        <is>
          <t>Kurulumu müşteri kendi başına yapabilecek mi?</t>
        </is>
      </c>
    </row>
    <row r="132">
      <c r="A132" s="7" t="inlineStr">
        <is>
          <t>Operasyon yükü ve risk</t>
        </is>
      </c>
      <c r="B132" s="14" t="inlineStr">
        <is>
          <t>F2</t>
        </is>
      </c>
      <c r="C132" s="6" t="inlineStr">
        <is>
          <t>Ürün yanlış sonuç verirse müşteri ceza, para ya da itibar kaybeder mi?</t>
        </is>
      </c>
    </row>
    <row r="133">
      <c r="A133" s="7" t="inlineStr">
        <is>
          <t>Operasyon yükü ve risk</t>
        </is>
      </c>
      <c r="B133" s="14" t="inlineStr">
        <is>
          <t>F2</t>
        </is>
      </c>
      <c r="C133" s="6" t="inlineStr">
        <is>
          <t>Sorumluluk sözleşmede sınırlandı mı?</t>
        </is>
      </c>
    </row>
    <row r="134">
      <c r="A134" s="7" t="inlineStr">
        <is>
          <t>Operasyon yükü ve risk</t>
        </is>
      </c>
      <c r="B134" s="14" t="inlineStr">
        <is>
          <t>F2</t>
        </is>
      </c>
      <c r="C134" s="6" t="inlineStr">
        <is>
          <t>Sonucu bir uzmanın onaylaması gerekiyor mu?</t>
        </is>
      </c>
    </row>
    <row r="135">
      <c r="A135" s="7" t="inlineStr">
        <is>
          <t>Operasyon yükü ve risk</t>
        </is>
      </c>
      <c r="B135" s="14" t="inlineStr">
        <is>
          <t>F3</t>
        </is>
      </c>
      <c r="C135" s="6" t="inlineStr">
        <is>
          <t>Müşteriler birbirinden farklı istekte bulunuyor mu?</t>
        </is>
      </c>
    </row>
    <row r="136">
      <c r="A136" s="7" t="inlineStr">
        <is>
          <t>Operasyon yükü ve risk</t>
        </is>
      </c>
      <c r="B136" s="14" t="inlineStr">
        <is>
          <t>F3</t>
        </is>
      </c>
      <c r="C136" s="6" t="inlineStr">
        <is>
          <t>Özel istek gelirse hayır demenin bedeli ne?</t>
        </is>
      </c>
    </row>
    <row r="137">
      <c r="A137" s="7" t="inlineStr">
        <is>
          <t>Operasyon yükü ve risk</t>
        </is>
      </c>
      <c r="B137" s="14" t="inlineStr">
        <is>
          <t>F3</t>
        </is>
      </c>
      <c r="C137" s="6" t="inlineStr">
        <is>
          <t>Standart ürüne ödeme yapan ile özel işe ödeme yapan ayrı kaydediliyor mu?</t>
        </is>
      </c>
    </row>
    <row r="138">
      <c r="A138" s="7" t="inlineStr">
        <is>
          <t>Stratejik eksen</t>
        </is>
      </c>
      <c r="B138" s="14" t="inlineStr">
        <is>
          <t>S1</t>
        </is>
      </c>
      <c r="C138" s="6" t="inlineStr">
        <is>
          <t>Türkiye'de bu alıcı tipinden kaç tane var; kaynağı ne?</t>
        </is>
      </c>
    </row>
    <row r="139">
      <c r="A139" s="7" t="inlineStr">
        <is>
          <t>Stratejik eksen</t>
        </is>
      </c>
      <c r="B139" s="14" t="inlineStr">
        <is>
          <t>S1</t>
        </is>
      </c>
      <c r="C139" s="6" t="inlineStr">
        <is>
          <t>Pazar büyüyor mu, daralıyor mu?</t>
        </is>
      </c>
    </row>
    <row r="140">
      <c r="A140" s="7" t="inlineStr">
        <is>
          <t>Stratejik eksen</t>
        </is>
      </c>
      <c r="B140" s="14" t="inlineStr">
        <is>
          <t>S2</t>
        </is>
      </c>
      <c r="C140" s="6" t="inlineStr">
        <is>
          <t>Bir rakip ya da yapay zekâ bunu kaç haftada kopyalar?</t>
        </is>
      </c>
    </row>
    <row r="141">
      <c r="A141" s="7" t="inlineStr">
        <is>
          <t>Stratejik eksen</t>
        </is>
      </c>
      <c r="B141" s="14" t="inlineStr">
        <is>
          <t>S2</t>
        </is>
      </c>
      <c r="C141" s="6" t="inlineStr">
        <is>
          <t>Zamanla biriken ve başkasında olmayan ne var: veri, entegrasyon, ilişki, mevzuat bilgisi?</t>
        </is>
      </c>
    </row>
    <row r="142">
      <c r="A142" s="7" t="inlineStr">
        <is>
          <t>Stratejik eksen</t>
        </is>
      </c>
      <c r="B142" s="14" t="inlineStr">
        <is>
          <t>S3</t>
        </is>
      </c>
      <c r="C142" s="6" t="inlineStr">
        <is>
          <t>Yüzüncü müşteri onuncu müşteriden ne kadar daha az emek istiyor?</t>
        </is>
      </c>
    </row>
    <row r="143">
      <c r="A143" s="7" t="inlineStr">
        <is>
          <t>Stratejik eksen</t>
        </is>
      </c>
      <c r="B143" s="14" t="inlineStr">
        <is>
          <t>S3</t>
        </is>
      </c>
      <c r="C143" s="6" t="inlineStr">
        <is>
          <t>Gelir kurucunun saatine mi bağlı?</t>
        </is>
      </c>
    </row>
    <row r="144">
      <c r="A144" s="7" t="inlineStr">
        <is>
          <t>Stratejik eksen</t>
        </is>
      </c>
      <c r="B144" s="14" t="inlineStr">
        <is>
          <t>S4</t>
        </is>
      </c>
      <c r="C144" s="6" t="inlineStr">
        <is>
          <t>Bu iş başka bir projenin müşterisini, kodunu ya da kanalını besliyor mu?</t>
        </is>
      </c>
    </row>
    <row r="145">
      <c r="A145" s="7" t="inlineStr">
        <is>
          <t>Stratejik eksen</t>
        </is>
      </c>
      <c r="B145" s="14" t="inlineStr">
        <is>
          <t>S4</t>
        </is>
      </c>
      <c r="C145" s="6" t="inlineStr">
        <is>
          <t>Başarısız olsa bile elde ne kalır?</t>
        </is>
      </c>
    </row>
    <row r="146">
      <c r="A146" s="7" t="inlineStr">
        <is>
          <t>Portföy ve karar hijyeni</t>
        </is>
      </c>
      <c r="B146" s="14" t="inlineStr">
        <is>
          <t>P</t>
        </is>
      </c>
      <c r="C146" s="6" t="inlineStr">
        <is>
          <t>Aynı anda yürütülen satış odaklı iş sayısı bir mi, en çok iki mi?</t>
        </is>
      </c>
    </row>
    <row r="147">
      <c r="A147" s="7" t="inlineStr">
        <is>
          <t>Portföy ve karar hijyeni</t>
        </is>
      </c>
      <c r="B147" s="14" t="inlineStr">
        <is>
          <t>P</t>
        </is>
      </c>
      <c r="C147" s="6" t="inlineStr">
        <is>
          <t>Kısa listedeki seçenekler aynı alıcıya, aynı kanala ya da aynı kişiye mi bağlı?</t>
        </is>
      </c>
    </row>
    <row r="148">
      <c r="A148" s="7" t="inlineStr">
        <is>
          <t>Portföy ve karar hijyeni</t>
        </is>
      </c>
      <c r="B148" s="14" t="inlineStr">
        <is>
          <t>P</t>
        </is>
      </c>
      <c r="C148" s="6" t="inlineStr">
        <is>
          <t>Hiçbirine yatırım yapmamak ve aynı saatlerde danışmanlık yapmak karşılaştırıldı mı?</t>
        </is>
      </c>
    </row>
    <row r="149">
      <c r="A149" s="7" t="inlineStr">
        <is>
          <t>Portföy ve karar hijyeni</t>
        </is>
      </c>
      <c r="B149" s="14" t="inlineStr">
        <is>
          <t>P</t>
        </is>
      </c>
      <c r="C149" s="6" t="inlineStr">
        <is>
          <t>Ağırlıklar projelere bakmadan önce mi belirlendi?</t>
        </is>
      </c>
    </row>
    <row r="150">
      <c r="A150" s="7" t="inlineStr">
        <is>
          <t>Portföy ve karar hijyeni</t>
        </is>
      </c>
      <c r="B150" s="14" t="inlineStr">
        <is>
          <t>P</t>
        </is>
      </c>
      <c r="C150" s="6" t="inlineStr">
        <is>
          <t>Puanları sizden bağımsız biri de verdi mi; nerede ayrıştınız?</t>
        </is>
      </c>
    </row>
    <row r="151">
      <c r="A151" s="7" t="inlineStr">
        <is>
          <t>Portföy ve karar hijyeni</t>
        </is>
      </c>
      <c r="B151" s="14" t="inlineStr">
        <is>
          <t>P</t>
        </is>
      </c>
      <c r="C151" s="6" t="inlineStr">
        <is>
          <t>Seçilen iş için bırakma ölçütü ve tarihi yazıldı mı?</t>
        </is>
      </c>
    </row>
    <row r="152">
      <c r="A152" s="7" t="inlineStr">
        <is>
          <t>Portföy ve karar hijyeni</t>
        </is>
      </c>
      <c r="B152" s="14" t="inlineStr">
        <is>
          <t>P</t>
        </is>
      </c>
      <c r="C152" s="6" t="inlineStr">
        <is>
          <t>Ağırlıklar yüzde 20 oynatıldığında birinci sıra değişiyor mu?</t>
        </is>
      </c>
    </row>
    <row r="153">
      <c r="A153" s="7" t="inlineStr">
        <is>
          <t>Portföy ve karar hijyeni</t>
        </is>
      </c>
      <c r="B153" s="14" t="inlineStr">
        <is>
          <t>P</t>
        </is>
      </c>
      <c r="C153" s="6" t="inlineStr">
        <is>
          <t>Bu deneyin sonucu kararı değiştirebilir mi; değiştirmeyecekse neden yapılıyor?</t>
        </is>
      </c>
    </row>
    <row r="154">
      <c r="A154" s="7" t="inlineStr">
        <is>
          <t>Portföy ve karar hijyeni</t>
        </is>
      </c>
      <c r="B154" s="14" t="inlineStr">
        <is>
          <t>P</t>
        </is>
      </c>
      <c r="C154" s="6" t="inlineStr">
        <is>
          <t>Model en son hangi gerçek sonuçla güncellendi?</t>
        </is>
      </c>
    </row>
    <row r="155">
      <c r="A155" s="7" t="inlineStr">
        <is>
          <t>Portföy ve karar hijyeni</t>
        </is>
      </c>
      <c r="B155" s="14" t="inlineStr">
        <is>
          <t>P</t>
        </is>
      </c>
      <c r="C155" s="6" t="inlineStr">
        <is>
          <t>Geçmişte bırakılan ya da tutan bir iş bu modelle puanlansa doğru yere düşer mi?</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AG13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22" customWidth="1" min="1" max="1"/>
    <col width="40" customWidth="1" min="2" max="2"/>
    <col width="7"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 width="7" customWidth="1" min="14" max="14"/>
    <col width="7" customWidth="1" min="15" max="15"/>
    <col width="7" customWidth="1" min="16" max="16"/>
    <col width="7" customWidth="1" min="17" max="17"/>
    <col width="7" customWidth="1" min="18" max="18"/>
    <col width="7" customWidth="1" min="19" max="19"/>
    <col width="7" customWidth="1" min="20" max="20"/>
    <col width="7" customWidth="1" min="21" max="21"/>
    <col width="7" customWidth="1" min="22" max="22"/>
    <col width="7" customWidth="1" min="23" max="23"/>
    <col width="7" customWidth="1" min="24" max="24"/>
    <col width="7" customWidth="1" min="25" max="25"/>
    <col width="7" customWidth="1" min="26" max="26"/>
    <col width="7" customWidth="1" min="27" max="27"/>
    <col width="7" customWidth="1" min="28" max="28"/>
    <col width="7" customWidth="1" min="29" max="29"/>
    <col width="7" customWidth="1" min="30" max="30"/>
    <col width="7" customWidth="1" min="31" max="31"/>
    <col width="7" customWidth="1" min="32" max="32"/>
    <col width="7" customWidth="1" min="33" max="33"/>
  </cols>
  <sheetData>
    <row r="1">
      <c r="A1" s="1" t="inlineStr">
        <is>
          <t>Güven katsayıları</t>
        </is>
      </c>
    </row>
    <row r="2">
      <c r="A2" s="3" t="inlineStr">
        <is>
          <t>Kanıt kodunun Hedef sayfasındaki katsayısı. Formül; değiştirmeyin.</t>
        </is>
      </c>
    </row>
    <row r="4">
      <c r="A4" s="18" t="inlineStr">
        <is>
          <t>Kimlik</t>
        </is>
      </c>
      <c r="B4" s="18" t="inlineStr">
        <is>
          <t>Seçenek</t>
        </is>
      </c>
      <c r="C4" s="19" t="inlineStr">
        <is>
          <t>A1</t>
        </is>
      </c>
      <c r="D4" s="19" t="inlineStr">
        <is>
          <t>A2</t>
        </is>
      </c>
      <c r="E4" s="19" t="inlineStr">
        <is>
          <t>A3</t>
        </is>
      </c>
      <c r="F4" s="19" t="inlineStr">
        <is>
          <t>A4</t>
        </is>
      </c>
      <c r="G4" s="19" t="inlineStr">
        <is>
          <t>A5</t>
        </is>
      </c>
      <c r="H4" s="19" t="inlineStr">
        <is>
          <t>A6</t>
        </is>
      </c>
      <c r="I4" s="19" t="inlineStr">
        <is>
          <t>B1</t>
        </is>
      </c>
      <c r="J4" s="19" t="inlineStr">
        <is>
          <t>B2</t>
        </is>
      </c>
      <c r="K4" s="19" t="inlineStr">
        <is>
          <t>B3</t>
        </is>
      </c>
      <c r="L4" s="19" t="inlineStr">
        <is>
          <t>B4</t>
        </is>
      </c>
      <c r="M4" s="19" t="inlineStr">
        <is>
          <t>B5</t>
        </is>
      </c>
      <c r="N4" s="19" t="inlineStr">
        <is>
          <t>B6</t>
        </is>
      </c>
      <c r="O4" s="19" t="inlineStr">
        <is>
          <t>C1</t>
        </is>
      </c>
      <c r="P4" s="19" t="inlineStr">
        <is>
          <t>C2</t>
        </is>
      </c>
      <c r="Q4" s="19" t="inlineStr">
        <is>
          <t>C3</t>
        </is>
      </c>
      <c r="R4" s="19" t="inlineStr">
        <is>
          <t>C4</t>
        </is>
      </c>
      <c r="S4" s="19" t="inlineStr">
        <is>
          <t>C5</t>
        </is>
      </c>
      <c r="T4" s="19" t="inlineStr">
        <is>
          <t>C6</t>
        </is>
      </c>
      <c r="U4" s="19" t="inlineStr">
        <is>
          <t>D1</t>
        </is>
      </c>
      <c r="V4" s="19" t="inlineStr">
        <is>
          <t>D2</t>
        </is>
      </c>
      <c r="W4" s="19" t="inlineStr">
        <is>
          <t>D3</t>
        </is>
      </c>
      <c r="X4" s="19" t="inlineStr">
        <is>
          <t>E1</t>
        </is>
      </c>
      <c r="Y4" s="19" t="inlineStr">
        <is>
          <t>E2</t>
        </is>
      </c>
      <c r="Z4" s="19" t="inlineStr">
        <is>
          <t>F1</t>
        </is>
      </c>
      <c r="AA4" s="19" t="inlineStr">
        <is>
          <t>F2</t>
        </is>
      </c>
      <c r="AB4" s="19" t="inlineStr">
        <is>
          <t>F3</t>
        </is>
      </c>
      <c r="AD4" s="19" t="inlineStr">
        <is>
          <t>S1</t>
        </is>
      </c>
      <c r="AE4" s="19" t="inlineStr">
        <is>
          <t>S2</t>
        </is>
      </c>
      <c r="AF4" s="19" t="inlineStr">
        <is>
          <t>S3</t>
        </is>
      </c>
      <c r="AG4" s="19" t="inlineStr">
        <is>
          <t>S4</t>
        </is>
      </c>
    </row>
    <row r="5">
      <c r="A5" s="7" t="str">
        <f>Secenekler!A5</f>
        <v>zabuno-a</v>
      </c>
      <c r="B5" s="7" t="str">
        <f>Secenekler!C5</f>
        <v>Kafe aboneliği: kurulum dahil Restaurant planı</v>
      </c>
      <c r="C5" s="8">
        <f>INDEX(Hedef!$C$17:$C$21,Kanit!C5+1)</f>
        <v>0.5</v>
      </c>
      <c r="D5" s="8">
        <f>INDEX(Hedef!$C$17:$C$21,Kanit!D5+1)</f>
        <v>0.5</v>
      </c>
      <c r="E5" s="8">
        <f>INDEX(Hedef!$C$17:$C$21,Kanit!E5+1)</f>
        <v>0.5</v>
      </c>
      <c r="F5" s="8">
        <f>INDEX(Hedef!$C$17:$C$21,Kanit!F5+1)</f>
        <v>0.5</v>
      </c>
      <c r="G5" s="8">
        <f>INDEX(Hedef!$C$17:$C$21,Kanit!G5+1)</f>
        <v>0.3</v>
      </c>
      <c r="H5" s="8">
        <f>INDEX(Hedef!$C$17:$C$21,Kanit!H5+1)</f>
        <v>0.5</v>
      </c>
      <c r="I5" s="8">
        <f>INDEX(Hedef!$C$17:$C$21,Kanit!I5+1)</f>
        <v>0.3</v>
      </c>
      <c r="J5" s="8">
        <f>INDEX(Hedef!$C$17:$C$21,Kanit!J5+1)</f>
        <v>0.5</v>
      </c>
      <c r="K5" s="8">
        <f>INDEX(Hedef!$C$17:$C$21,Kanit!K5+1)</f>
        <v>0.3</v>
      </c>
      <c r="L5" s="8">
        <f>INDEX(Hedef!$C$17:$C$21,Kanit!L5+1)</f>
        <v>0.3</v>
      </c>
      <c r="M5" s="8">
        <f>INDEX(Hedef!$C$17:$C$21,Kanit!M5+1)</f>
        <v>0.3</v>
      </c>
      <c r="N5" s="8">
        <f>INDEX(Hedef!$C$17:$C$21,Kanit!N5+1)</f>
        <v>0.3</v>
      </c>
      <c r="O5" s="8">
        <f>INDEX(Hedef!$C$17:$C$21,Kanit!O5+1)</f>
        <v>0.3</v>
      </c>
      <c r="P5" s="8">
        <f>INDEX(Hedef!$C$17:$C$21,Kanit!P5+1)</f>
        <v>0.3</v>
      </c>
      <c r="Q5" s="8">
        <f>INDEX(Hedef!$C$17:$C$21,Kanit!Q5+1)</f>
        <v>0.3</v>
      </c>
      <c r="R5" s="8">
        <f>INDEX(Hedef!$C$17:$C$21,Kanit!R5+1)</f>
        <v>0.5</v>
      </c>
      <c r="S5" s="8">
        <f>INDEX(Hedef!$C$17:$C$21,Kanit!S5+1)</f>
        <v>0.5</v>
      </c>
      <c r="T5" s="8">
        <f>INDEX(Hedef!$C$17:$C$21,Kanit!T5+1)</f>
        <v>0.5</v>
      </c>
      <c r="U5" s="8">
        <f>INDEX(Hedef!$C$17:$C$21,Kanit!U5+1)</f>
        <v>0.5</v>
      </c>
      <c r="V5" s="8">
        <f>INDEX(Hedef!$C$17:$C$21,Kanit!V5+1)</f>
        <v>0.5</v>
      </c>
      <c r="W5" s="8">
        <f>INDEX(Hedef!$C$17:$C$21,Kanit!W5+1)</f>
        <v>0.5</v>
      </c>
      <c r="X5" s="8">
        <f>INDEX(Hedef!$C$17:$C$21,Kanit!X5+1)</f>
        <v>0.5</v>
      </c>
      <c r="Y5" s="8">
        <f>INDEX(Hedef!$C$17:$C$21,Kanit!Y5+1)</f>
        <v>0.5</v>
      </c>
      <c r="Z5" s="8">
        <f>INDEX(Hedef!$C$17:$C$21,Kanit!Z5+1)</f>
        <v>0.3</v>
      </c>
      <c r="AA5" s="8">
        <f>INDEX(Hedef!$C$17:$C$21,Kanit!AA5+1)</f>
        <v>0.5</v>
      </c>
      <c r="AB5" s="8">
        <f>INDEX(Hedef!$C$17:$C$21,Kanit!AB5+1)</f>
        <v>0.5</v>
      </c>
      <c r="AD5" s="8">
        <f>INDEX(Hedef!$C$17:$C$21,Kanit!AD5+1)</f>
        <v>0.5</v>
      </c>
      <c r="AE5" s="8">
        <f>INDEX(Hedef!$C$17:$C$21,Kanit!AE5+1)</f>
        <v>0.5</v>
      </c>
      <c r="AF5" s="8">
        <f>INDEX(Hedef!$C$17:$C$21,Kanit!AF5+1)</f>
        <v>0.5</v>
      </c>
      <c r="AG5" s="8">
        <f>INDEX(Hedef!$C$17:$C$21,Kanit!AG5+1)</f>
        <v>0.3</v>
      </c>
    </row>
    <row r="6">
      <c r="A6" s="7" t="str">
        <f>Secenekler!A6</f>
        <v>zabuno-b</v>
      </c>
      <c r="B6" s="7" t="str">
        <f>Secenekler!C6</f>
        <v>Zincir planı: çok şubeli kahve zinciri pilotu</v>
      </c>
      <c r="C6" s="8">
        <f>INDEX(Hedef!$C$17:$C$21,Kanit!C6+1)</f>
        <v>0.5</v>
      </c>
      <c r="D6" s="8">
        <f>INDEX(Hedef!$C$17:$C$21,Kanit!D6+1)</f>
        <v>0.5</v>
      </c>
      <c r="E6" s="8">
        <f>INDEX(Hedef!$C$17:$C$21,Kanit!E6+1)</f>
        <v>0.3</v>
      </c>
      <c r="F6" s="8">
        <f>INDEX(Hedef!$C$17:$C$21,Kanit!F6+1)</f>
        <v>0.5</v>
      </c>
      <c r="G6" s="8">
        <f>INDEX(Hedef!$C$17:$C$21,Kanit!G6+1)</f>
        <v>0.5</v>
      </c>
      <c r="H6" s="8">
        <f>INDEX(Hedef!$C$17:$C$21,Kanit!H6+1)</f>
        <v>0.5</v>
      </c>
      <c r="I6" s="8">
        <f>INDEX(Hedef!$C$17:$C$21,Kanit!I6+1)</f>
        <v>0.7</v>
      </c>
      <c r="J6" s="8">
        <f>INDEX(Hedef!$C$17:$C$21,Kanit!J6+1)</f>
        <v>0.3</v>
      </c>
      <c r="K6" s="8">
        <f>INDEX(Hedef!$C$17:$C$21,Kanit!K6+1)</f>
        <v>0.3</v>
      </c>
      <c r="L6" s="8">
        <f>INDEX(Hedef!$C$17:$C$21,Kanit!L6+1)</f>
        <v>0.3</v>
      </c>
      <c r="M6" s="8">
        <f>INDEX(Hedef!$C$17:$C$21,Kanit!M6+1)</f>
        <v>0.5</v>
      </c>
      <c r="N6" s="8">
        <f>INDEX(Hedef!$C$17:$C$21,Kanit!N6+1)</f>
        <v>0.3</v>
      </c>
      <c r="O6" s="8">
        <f>INDEX(Hedef!$C$17:$C$21,Kanit!O6+1)</f>
        <v>0.3</v>
      </c>
      <c r="P6" s="8">
        <f>INDEX(Hedef!$C$17:$C$21,Kanit!P6+1)</f>
        <v>0.3</v>
      </c>
      <c r="Q6" s="8">
        <f>INDEX(Hedef!$C$17:$C$21,Kanit!Q6+1)</f>
        <v>0.3</v>
      </c>
      <c r="R6" s="8">
        <f>INDEX(Hedef!$C$17:$C$21,Kanit!R6+1)</f>
        <v>0.5</v>
      </c>
      <c r="S6" s="8">
        <f>INDEX(Hedef!$C$17:$C$21,Kanit!S6+1)</f>
        <v>0.5</v>
      </c>
      <c r="T6" s="8">
        <f>INDEX(Hedef!$C$17:$C$21,Kanit!T6+1)</f>
        <v>0.5</v>
      </c>
      <c r="U6" s="8">
        <f>INDEX(Hedef!$C$17:$C$21,Kanit!U6+1)</f>
        <v>0.3</v>
      </c>
      <c r="V6" s="8">
        <f>INDEX(Hedef!$C$17:$C$21,Kanit!V6+1)</f>
        <v>0.5</v>
      </c>
      <c r="W6" s="8">
        <f>INDEX(Hedef!$C$17:$C$21,Kanit!W6+1)</f>
        <v>0.3</v>
      </c>
      <c r="X6" s="8">
        <f>INDEX(Hedef!$C$17:$C$21,Kanit!X6+1)</f>
        <v>0.5</v>
      </c>
      <c r="Y6" s="8">
        <f>INDEX(Hedef!$C$17:$C$21,Kanit!Y6+1)</f>
        <v>0.5</v>
      </c>
      <c r="Z6" s="8">
        <f>INDEX(Hedef!$C$17:$C$21,Kanit!Z6+1)</f>
        <v>0.3</v>
      </c>
      <c r="AA6" s="8">
        <f>INDEX(Hedef!$C$17:$C$21,Kanit!AA6+1)</f>
        <v>0.5</v>
      </c>
      <c r="AB6" s="8">
        <f>INDEX(Hedef!$C$17:$C$21,Kanit!AB6+1)</f>
        <v>0.3</v>
      </c>
      <c r="AD6" s="8">
        <f>INDEX(Hedef!$C$17:$C$21,Kanit!AD6+1)</f>
        <v>0.3</v>
      </c>
      <c r="AE6" s="8">
        <f>INDEX(Hedef!$C$17:$C$21,Kanit!AE6+1)</f>
        <v>0.5</v>
      </c>
      <c r="AF6" s="8">
        <f>INDEX(Hedef!$C$17:$C$21,Kanit!AF6+1)</f>
        <v>0.5</v>
      </c>
      <c r="AG6" s="8">
        <f>INDEX(Hedef!$C$17:$C$21,Kanit!AG6+1)</f>
        <v>0.5</v>
      </c>
    </row>
    <row r="7">
      <c r="A7" s="7" t="str">
        <f>Secenekler!A7</f>
        <v>zabuno-c</v>
      </c>
      <c r="B7" s="7" t="str">
        <f>Secenekler!C7</f>
        <v>Restoran paneli modül uyarlama hizmeti</v>
      </c>
      <c r="C7" s="8">
        <f>INDEX(Hedef!$C$17:$C$21,Kanit!C7+1)</f>
        <v>0.3</v>
      </c>
      <c r="D7" s="8">
        <f>INDEX(Hedef!$C$17:$C$21,Kanit!D7+1)</f>
        <v>0.3</v>
      </c>
      <c r="E7" s="8">
        <f>INDEX(Hedef!$C$17:$C$21,Kanit!E7+1)</f>
        <v>0.3</v>
      </c>
      <c r="F7" s="8">
        <f>INDEX(Hedef!$C$17:$C$21,Kanit!F7+1)</f>
        <v>0.3</v>
      </c>
      <c r="G7" s="8">
        <f>INDEX(Hedef!$C$17:$C$21,Kanit!G7+1)</f>
        <v>0.3</v>
      </c>
      <c r="H7" s="8">
        <f>INDEX(Hedef!$C$17:$C$21,Kanit!H7+1)</f>
        <v>0.3</v>
      </c>
      <c r="I7" s="8">
        <f>INDEX(Hedef!$C$17:$C$21,Kanit!I7+1)</f>
        <v>0.3</v>
      </c>
      <c r="J7" s="8">
        <f>INDEX(Hedef!$C$17:$C$21,Kanit!J7+1)</f>
        <v>0.3</v>
      </c>
      <c r="K7" s="8">
        <f>INDEX(Hedef!$C$17:$C$21,Kanit!K7+1)</f>
        <v>0.3</v>
      </c>
      <c r="L7" s="8">
        <f>INDEX(Hedef!$C$17:$C$21,Kanit!L7+1)</f>
        <v>0.3</v>
      </c>
      <c r="M7" s="8">
        <f>INDEX(Hedef!$C$17:$C$21,Kanit!M7+1)</f>
        <v>0.3</v>
      </c>
      <c r="N7" s="8">
        <f>INDEX(Hedef!$C$17:$C$21,Kanit!N7+1)</f>
        <v>0.3</v>
      </c>
      <c r="O7" s="8">
        <f>INDEX(Hedef!$C$17:$C$21,Kanit!O7+1)</f>
        <v>0.3</v>
      </c>
      <c r="P7" s="8">
        <f>INDEX(Hedef!$C$17:$C$21,Kanit!P7+1)</f>
        <v>0.3</v>
      </c>
      <c r="Q7" s="8">
        <f>INDEX(Hedef!$C$17:$C$21,Kanit!Q7+1)</f>
        <v>0.3</v>
      </c>
      <c r="R7" s="8">
        <f>INDEX(Hedef!$C$17:$C$21,Kanit!R7+1)</f>
        <v>0.3</v>
      </c>
      <c r="S7" s="8">
        <f>INDEX(Hedef!$C$17:$C$21,Kanit!S7+1)</f>
        <v>0.3</v>
      </c>
      <c r="T7" s="8">
        <f>INDEX(Hedef!$C$17:$C$21,Kanit!T7+1)</f>
        <v>0.3</v>
      </c>
      <c r="U7" s="8">
        <f>INDEX(Hedef!$C$17:$C$21,Kanit!U7+1)</f>
        <v>0.3</v>
      </c>
      <c r="V7" s="8">
        <f>INDEX(Hedef!$C$17:$C$21,Kanit!V7+1)</f>
        <v>0.3</v>
      </c>
      <c r="W7" s="8">
        <f>INDEX(Hedef!$C$17:$C$21,Kanit!W7+1)</f>
        <v>0.3</v>
      </c>
      <c r="X7" s="8">
        <f>INDEX(Hedef!$C$17:$C$21,Kanit!X7+1)</f>
        <v>0.3</v>
      </c>
      <c r="Y7" s="8">
        <f>INDEX(Hedef!$C$17:$C$21,Kanit!Y7+1)</f>
        <v>0.3</v>
      </c>
      <c r="Z7" s="8">
        <f>INDEX(Hedef!$C$17:$C$21,Kanit!Z7+1)</f>
        <v>0.3</v>
      </c>
      <c r="AA7" s="8">
        <f>INDEX(Hedef!$C$17:$C$21,Kanit!AA7+1)</f>
        <v>0.3</v>
      </c>
      <c r="AB7" s="8">
        <f>INDEX(Hedef!$C$17:$C$21,Kanit!AB7+1)</f>
        <v>0.3</v>
      </c>
      <c r="AD7" s="8">
        <f>INDEX(Hedef!$C$17:$C$21,Kanit!AD7+1)</f>
        <v>0.3</v>
      </c>
      <c r="AE7" s="8">
        <f>INDEX(Hedef!$C$17:$C$21,Kanit!AE7+1)</f>
        <v>0.3</v>
      </c>
      <c r="AF7" s="8">
        <f>INDEX(Hedef!$C$17:$C$21,Kanit!AF7+1)</f>
        <v>0.3</v>
      </c>
      <c r="AG7" s="8">
        <f>INDEX(Hedef!$C$17:$C$21,Kanit!AG7+1)</f>
        <v>0.3</v>
      </c>
    </row>
    <row r="8">
      <c r="A8" s="7" t="str">
        <f>Secenekler!A8</f>
        <v>parselq-a</v>
      </c>
      <c r="B8" s="7" t="str">
        <f>Secenekler!C8</f>
        <v>ParselQ Rapor: tek parsel bilgi notu (bireysel alıcı)</v>
      </c>
      <c r="C8" s="8">
        <f>INDEX(Hedef!$C$17:$C$21,Kanit!C8+1)</f>
        <v>0.5</v>
      </c>
      <c r="D8" s="8">
        <f>INDEX(Hedef!$C$17:$C$21,Kanit!D8+1)</f>
        <v>0.3</v>
      </c>
      <c r="E8" s="8">
        <f>INDEX(Hedef!$C$17:$C$21,Kanit!E8+1)</f>
        <v>0.5</v>
      </c>
      <c r="F8" s="8">
        <f>INDEX(Hedef!$C$17:$C$21,Kanit!F8+1)</f>
        <v>0.5</v>
      </c>
      <c r="G8" s="8">
        <f>INDEX(Hedef!$C$17:$C$21,Kanit!G8+1)</f>
        <v>0.3</v>
      </c>
      <c r="H8" s="8">
        <f>INDEX(Hedef!$C$17:$C$21,Kanit!H8+1)</f>
        <v>0.5</v>
      </c>
      <c r="I8" s="8">
        <f>INDEX(Hedef!$C$17:$C$21,Kanit!I8+1)</f>
        <v>0.3</v>
      </c>
      <c r="J8" s="8">
        <f>INDEX(Hedef!$C$17:$C$21,Kanit!J8+1)</f>
        <v>0.3</v>
      </c>
      <c r="K8" s="8">
        <f>INDEX(Hedef!$C$17:$C$21,Kanit!K8+1)</f>
        <v>0.3</v>
      </c>
      <c r="L8" s="8">
        <f>INDEX(Hedef!$C$17:$C$21,Kanit!L8+1)</f>
        <v>0.3</v>
      </c>
      <c r="M8" s="8">
        <f>INDEX(Hedef!$C$17:$C$21,Kanit!M8+1)</f>
        <v>0.5</v>
      </c>
      <c r="N8" s="8">
        <f>INDEX(Hedef!$C$17:$C$21,Kanit!N8+1)</f>
        <v>0.3</v>
      </c>
      <c r="O8" s="8">
        <f>INDEX(Hedef!$C$17:$C$21,Kanit!O8+1)</f>
        <v>0.3</v>
      </c>
      <c r="P8" s="8">
        <f>INDEX(Hedef!$C$17:$C$21,Kanit!P8+1)</f>
        <v>0.3</v>
      </c>
      <c r="Q8" s="8">
        <f>INDEX(Hedef!$C$17:$C$21,Kanit!Q8+1)</f>
        <v>0.3</v>
      </c>
      <c r="R8" s="8">
        <f>INDEX(Hedef!$C$17:$C$21,Kanit!R8+1)</f>
        <v>0.3</v>
      </c>
      <c r="S8" s="8">
        <f>INDEX(Hedef!$C$17:$C$21,Kanit!S8+1)</f>
        <v>0.3</v>
      </c>
      <c r="T8" s="8">
        <f>INDEX(Hedef!$C$17:$C$21,Kanit!T8+1)</f>
        <v>0.3</v>
      </c>
      <c r="U8" s="8">
        <f>INDEX(Hedef!$C$17:$C$21,Kanit!U8+1)</f>
        <v>0.5</v>
      </c>
      <c r="V8" s="8">
        <f>INDEX(Hedef!$C$17:$C$21,Kanit!V8+1)</f>
        <v>0.3</v>
      </c>
      <c r="W8" s="8">
        <f>INDEX(Hedef!$C$17:$C$21,Kanit!W8+1)</f>
        <v>0.3</v>
      </c>
      <c r="X8" s="8">
        <f>INDEX(Hedef!$C$17:$C$21,Kanit!X8+1)</f>
        <v>0.3</v>
      </c>
      <c r="Y8" s="8">
        <f>INDEX(Hedef!$C$17:$C$21,Kanit!Y8+1)</f>
        <v>0.5</v>
      </c>
      <c r="Z8" s="8">
        <f>INDEX(Hedef!$C$17:$C$21,Kanit!Z8+1)</f>
        <v>0.3</v>
      </c>
      <c r="AA8" s="8">
        <f>INDEX(Hedef!$C$17:$C$21,Kanit!AA8+1)</f>
        <v>0.5</v>
      </c>
      <c r="AB8" s="8">
        <f>INDEX(Hedef!$C$17:$C$21,Kanit!AB8+1)</f>
        <v>0.3</v>
      </c>
      <c r="AD8" s="8">
        <f>INDEX(Hedef!$C$17:$C$21,Kanit!AD8+1)</f>
        <v>0.5</v>
      </c>
      <c r="AE8" s="8">
        <f>INDEX(Hedef!$C$17:$C$21,Kanit!AE8+1)</f>
        <v>0.5</v>
      </c>
      <c r="AF8" s="8">
        <f>INDEX(Hedef!$C$17:$C$21,Kanit!AF8+1)</f>
        <v>0.3</v>
      </c>
      <c r="AG8" s="8">
        <f>INDEX(Hedef!$C$17:$C$21,Kanit!AG8+1)</f>
        <v>0.3</v>
      </c>
    </row>
    <row r="9">
      <c r="A9" s="7" t="str">
        <f>Secenekler!A9</f>
        <v>parselq-b</v>
      </c>
      <c r="B9" s="7" t="str">
        <f>Secenekler!C9</f>
        <v>Parsel Kartı: emlakçıya arsa ilanı için güven kartı aboneliği</v>
      </c>
      <c r="C9" s="8">
        <f>INDEX(Hedef!$C$17:$C$21,Kanit!C9+1)</f>
        <v>0.3</v>
      </c>
      <c r="D9" s="8">
        <f>INDEX(Hedef!$C$17:$C$21,Kanit!D9+1)</f>
        <v>0.3</v>
      </c>
      <c r="E9" s="8">
        <f>INDEX(Hedef!$C$17:$C$21,Kanit!E9+1)</f>
        <v>0.3</v>
      </c>
      <c r="F9" s="8">
        <f>INDEX(Hedef!$C$17:$C$21,Kanit!F9+1)</f>
        <v>0.5</v>
      </c>
      <c r="G9" s="8">
        <f>INDEX(Hedef!$C$17:$C$21,Kanit!G9+1)</f>
        <v>0.3</v>
      </c>
      <c r="H9" s="8">
        <f>INDEX(Hedef!$C$17:$C$21,Kanit!H9+1)</f>
        <v>0.5</v>
      </c>
      <c r="I9" s="8">
        <f>INDEX(Hedef!$C$17:$C$21,Kanit!I9+1)</f>
        <v>0.5</v>
      </c>
      <c r="J9" s="8">
        <f>INDEX(Hedef!$C$17:$C$21,Kanit!J9+1)</f>
        <v>0.3</v>
      </c>
      <c r="K9" s="8">
        <f>INDEX(Hedef!$C$17:$C$21,Kanit!K9+1)</f>
        <v>0.3</v>
      </c>
      <c r="L9" s="8">
        <f>INDEX(Hedef!$C$17:$C$21,Kanit!L9+1)</f>
        <v>0.3</v>
      </c>
      <c r="M9" s="8">
        <f>INDEX(Hedef!$C$17:$C$21,Kanit!M9+1)</f>
        <v>0.5</v>
      </c>
      <c r="N9" s="8">
        <f>INDEX(Hedef!$C$17:$C$21,Kanit!N9+1)</f>
        <v>0.3</v>
      </c>
      <c r="O9" s="8">
        <f>INDEX(Hedef!$C$17:$C$21,Kanit!O9+1)</f>
        <v>0.3</v>
      </c>
      <c r="P9" s="8">
        <f>INDEX(Hedef!$C$17:$C$21,Kanit!P9+1)</f>
        <v>0.3</v>
      </c>
      <c r="Q9" s="8">
        <f>INDEX(Hedef!$C$17:$C$21,Kanit!Q9+1)</f>
        <v>0.3</v>
      </c>
      <c r="R9" s="8">
        <f>INDEX(Hedef!$C$17:$C$21,Kanit!R9+1)</f>
        <v>0.3</v>
      </c>
      <c r="S9" s="8">
        <f>INDEX(Hedef!$C$17:$C$21,Kanit!S9+1)</f>
        <v>0.3</v>
      </c>
      <c r="T9" s="8">
        <f>INDEX(Hedef!$C$17:$C$21,Kanit!T9+1)</f>
        <v>0.3</v>
      </c>
      <c r="U9" s="8">
        <f>INDEX(Hedef!$C$17:$C$21,Kanit!U9+1)</f>
        <v>0.5</v>
      </c>
      <c r="V9" s="8">
        <f>INDEX(Hedef!$C$17:$C$21,Kanit!V9+1)</f>
        <v>0.3</v>
      </c>
      <c r="W9" s="8">
        <f>INDEX(Hedef!$C$17:$C$21,Kanit!W9+1)</f>
        <v>0.3</v>
      </c>
      <c r="X9" s="8">
        <f>INDEX(Hedef!$C$17:$C$21,Kanit!X9+1)</f>
        <v>0.3</v>
      </c>
      <c r="Y9" s="8">
        <f>INDEX(Hedef!$C$17:$C$21,Kanit!Y9+1)</f>
        <v>0.3</v>
      </c>
      <c r="Z9" s="8">
        <f>INDEX(Hedef!$C$17:$C$21,Kanit!Z9+1)</f>
        <v>0.3</v>
      </c>
      <c r="AA9" s="8">
        <f>INDEX(Hedef!$C$17:$C$21,Kanit!AA9+1)</f>
        <v>0.5</v>
      </c>
      <c r="AB9" s="8">
        <f>INDEX(Hedef!$C$17:$C$21,Kanit!AB9+1)</f>
        <v>0.3</v>
      </c>
      <c r="AD9" s="8">
        <f>INDEX(Hedef!$C$17:$C$21,Kanit!AD9+1)</f>
        <v>0.5</v>
      </c>
      <c r="AE9" s="8">
        <f>INDEX(Hedef!$C$17:$C$21,Kanit!AE9+1)</f>
        <v>0.3</v>
      </c>
      <c r="AF9" s="8">
        <f>INDEX(Hedef!$C$17:$C$21,Kanit!AF9+1)</f>
        <v>0.3</v>
      </c>
      <c r="AG9" s="8">
        <f>INDEX(Hedef!$C$17:$C$21,Kanit!AG9+1)</f>
        <v>0.3</v>
      </c>
    </row>
    <row r="10">
      <c r="A10" s="7" t="str">
        <f>Secenekler!A10</f>
        <v>parselq-c</v>
      </c>
      <c r="B10" s="7" t="str">
        <f>Secenekler!C10</f>
        <v>Uzmanlı karar dosyası: kaynak izli arsa raporu (danışmanlık ofisi)</v>
      </c>
      <c r="C10" s="8">
        <f>INDEX(Hedef!$C$17:$C$21,Kanit!C10+1)</f>
        <v>0.3</v>
      </c>
      <c r="D10" s="8">
        <f>INDEX(Hedef!$C$17:$C$21,Kanit!D10+1)</f>
        <v>0.3</v>
      </c>
      <c r="E10" s="8">
        <f>INDEX(Hedef!$C$17:$C$21,Kanit!E10+1)</f>
        <v>0.3</v>
      </c>
      <c r="F10" s="8">
        <f>INDEX(Hedef!$C$17:$C$21,Kanit!F10+1)</f>
        <v>0.3</v>
      </c>
      <c r="G10" s="8">
        <f>INDEX(Hedef!$C$17:$C$21,Kanit!G10+1)</f>
        <v>0.3</v>
      </c>
      <c r="H10" s="8">
        <f>INDEX(Hedef!$C$17:$C$21,Kanit!H10+1)</f>
        <v>0.3</v>
      </c>
      <c r="I10" s="8">
        <f>INDEX(Hedef!$C$17:$C$21,Kanit!I10+1)</f>
        <v>0.3</v>
      </c>
      <c r="J10" s="8">
        <f>INDEX(Hedef!$C$17:$C$21,Kanit!J10+1)</f>
        <v>0.3</v>
      </c>
      <c r="K10" s="8">
        <f>INDEX(Hedef!$C$17:$C$21,Kanit!K10+1)</f>
        <v>0.3</v>
      </c>
      <c r="L10" s="8">
        <f>INDEX(Hedef!$C$17:$C$21,Kanit!L10+1)</f>
        <v>0.3</v>
      </c>
      <c r="M10" s="8">
        <f>INDEX(Hedef!$C$17:$C$21,Kanit!M10+1)</f>
        <v>0.3</v>
      </c>
      <c r="N10" s="8">
        <f>INDEX(Hedef!$C$17:$C$21,Kanit!N10+1)</f>
        <v>0.3</v>
      </c>
      <c r="O10" s="8">
        <f>INDEX(Hedef!$C$17:$C$21,Kanit!O10+1)</f>
        <v>0.3</v>
      </c>
      <c r="P10" s="8">
        <f>INDEX(Hedef!$C$17:$C$21,Kanit!P10+1)</f>
        <v>0.3</v>
      </c>
      <c r="Q10" s="8">
        <f>INDEX(Hedef!$C$17:$C$21,Kanit!Q10+1)</f>
        <v>0.3</v>
      </c>
      <c r="R10" s="8">
        <f>INDEX(Hedef!$C$17:$C$21,Kanit!R10+1)</f>
        <v>0.3</v>
      </c>
      <c r="S10" s="8">
        <f>INDEX(Hedef!$C$17:$C$21,Kanit!S10+1)</f>
        <v>0.3</v>
      </c>
      <c r="T10" s="8">
        <f>INDEX(Hedef!$C$17:$C$21,Kanit!T10+1)</f>
        <v>0.3</v>
      </c>
      <c r="U10" s="8">
        <f>INDEX(Hedef!$C$17:$C$21,Kanit!U10+1)</f>
        <v>0.5</v>
      </c>
      <c r="V10" s="8">
        <f>INDEX(Hedef!$C$17:$C$21,Kanit!V10+1)</f>
        <v>0.3</v>
      </c>
      <c r="W10" s="8">
        <f>INDEX(Hedef!$C$17:$C$21,Kanit!W10+1)</f>
        <v>0.3</v>
      </c>
      <c r="X10" s="8">
        <f>INDEX(Hedef!$C$17:$C$21,Kanit!X10+1)</f>
        <v>0.3</v>
      </c>
      <c r="Y10" s="8">
        <f>INDEX(Hedef!$C$17:$C$21,Kanit!Y10+1)</f>
        <v>0.3</v>
      </c>
      <c r="Z10" s="8">
        <f>INDEX(Hedef!$C$17:$C$21,Kanit!Z10+1)</f>
        <v>0.3</v>
      </c>
      <c r="AA10" s="8">
        <f>INDEX(Hedef!$C$17:$C$21,Kanit!AA10+1)</f>
        <v>0.3</v>
      </c>
      <c r="AB10" s="8">
        <f>INDEX(Hedef!$C$17:$C$21,Kanit!AB10+1)</f>
        <v>0.3</v>
      </c>
      <c r="AD10" s="8">
        <f>INDEX(Hedef!$C$17:$C$21,Kanit!AD10+1)</f>
        <v>0.3</v>
      </c>
      <c r="AE10" s="8">
        <f>INDEX(Hedef!$C$17:$C$21,Kanit!AE10+1)</f>
        <v>0.3</v>
      </c>
      <c r="AF10" s="8">
        <f>INDEX(Hedef!$C$17:$C$21,Kanit!AF10+1)</f>
        <v>0.3</v>
      </c>
      <c r="AG10" s="8">
        <f>INDEX(Hedef!$C$17:$C$21,Kanit!AG10+1)</f>
        <v>0.3</v>
      </c>
    </row>
    <row r="11">
      <c r="A11" s="7" t="str">
        <f>Secenekler!A11</f>
        <v>destektesvik-a</v>
      </c>
      <c r="B11" s="7" t="str">
        <f>Secenekler!C11</f>
        <v>Uzman onaylı ön değerlendirme raporu (KOBİ)</v>
      </c>
      <c r="C11" s="8">
        <f>INDEX(Hedef!$C$17:$C$21,Kanit!C11+1)</f>
        <v>0.5</v>
      </c>
      <c r="D11" s="8">
        <f>INDEX(Hedef!$C$17:$C$21,Kanit!D11+1)</f>
        <v>0.5</v>
      </c>
      <c r="E11" s="8">
        <f>INDEX(Hedef!$C$17:$C$21,Kanit!E11+1)</f>
        <v>0.5</v>
      </c>
      <c r="F11" s="8">
        <f>INDEX(Hedef!$C$17:$C$21,Kanit!F11+1)</f>
        <v>0.5</v>
      </c>
      <c r="G11" s="8">
        <f>INDEX(Hedef!$C$17:$C$21,Kanit!G11+1)</f>
        <v>0.3</v>
      </c>
      <c r="H11" s="8">
        <f>INDEX(Hedef!$C$17:$C$21,Kanit!H11+1)</f>
        <v>0.5</v>
      </c>
      <c r="I11" s="8">
        <f>INDEX(Hedef!$C$17:$C$21,Kanit!I11+1)</f>
        <v>0.5</v>
      </c>
      <c r="J11" s="8">
        <f>INDEX(Hedef!$C$17:$C$21,Kanit!J11+1)</f>
        <v>0.3</v>
      </c>
      <c r="K11" s="8">
        <f>INDEX(Hedef!$C$17:$C$21,Kanit!K11+1)</f>
        <v>0.3</v>
      </c>
      <c r="L11" s="8">
        <f>INDEX(Hedef!$C$17:$C$21,Kanit!L11+1)</f>
        <v>0.3</v>
      </c>
      <c r="M11" s="8">
        <f>INDEX(Hedef!$C$17:$C$21,Kanit!M11+1)</f>
        <v>0.5</v>
      </c>
      <c r="N11" s="8">
        <f>INDEX(Hedef!$C$17:$C$21,Kanit!N11+1)</f>
        <v>0.5</v>
      </c>
      <c r="O11" s="8">
        <f>INDEX(Hedef!$C$17:$C$21,Kanit!O11+1)</f>
        <v>0.3</v>
      </c>
      <c r="P11" s="8">
        <f>INDEX(Hedef!$C$17:$C$21,Kanit!P11+1)</f>
        <v>0.3</v>
      </c>
      <c r="Q11" s="8">
        <f>INDEX(Hedef!$C$17:$C$21,Kanit!Q11+1)</f>
        <v>0.3</v>
      </c>
      <c r="R11" s="8">
        <f>INDEX(Hedef!$C$17:$C$21,Kanit!R11+1)</f>
        <v>0.3</v>
      </c>
      <c r="S11" s="8">
        <f>INDEX(Hedef!$C$17:$C$21,Kanit!S11+1)</f>
        <v>0.3</v>
      </c>
      <c r="T11" s="8">
        <f>INDEX(Hedef!$C$17:$C$21,Kanit!T11+1)</f>
        <v>0.3</v>
      </c>
      <c r="U11" s="8">
        <f>INDEX(Hedef!$C$17:$C$21,Kanit!U11+1)</f>
        <v>0.5</v>
      </c>
      <c r="V11" s="8">
        <f>INDEX(Hedef!$C$17:$C$21,Kanit!V11+1)</f>
        <v>0.5</v>
      </c>
      <c r="W11" s="8">
        <f>INDEX(Hedef!$C$17:$C$21,Kanit!W11+1)</f>
        <v>0.3</v>
      </c>
      <c r="X11" s="8">
        <f>INDEX(Hedef!$C$17:$C$21,Kanit!X11+1)</f>
        <v>0.3</v>
      </c>
      <c r="Y11" s="8">
        <f>INDEX(Hedef!$C$17:$C$21,Kanit!Y11+1)</f>
        <v>0.5</v>
      </c>
      <c r="Z11" s="8">
        <f>INDEX(Hedef!$C$17:$C$21,Kanit!Z11+1)</f>
        <v>0.3</v>
      </c>
      <c r="AA11" s="8">
        <f>INDEX(Hedef!$C$17:$C$21,Kanit!AA11+1)</f>
        <v>0.3</v>
      </c>
      <c r="AB11" s="8">
        <f>INDEX(Hedef!$C$17:$C$21,Kanit!AB11+1)</f>
        <v>0.3</v>
      </c>
      <c r="AD11" s="8">
        <f>INDEX(Hedef!$C$17:$C$21,Kanit!AD11+1)</f>
        <v>0.5</v>
      </c>
      <c r="AE11" s="8">
        <f>INDEX(Hedef!$C$17:$C$21,Kanit!AE11+1)</f>
        <v>0.5</v>
      </c>
      <c r="AF11" s="8">
        <f>INDEX(Hedef!$C$17:$C$21,Kanit!AF11+1)</f>
        <v>0.3</v>
      </c>
      <c r="AG11" s="8">
        <f>INDEX(Hedef!$C$17:$C$21,Kanit!AG11+1)</f>
        <v>0.3</v>
      </c>
    </row>
    <row r="12">
      <c r="A12" s="7" t="str">
        <f>Secenekler!A12</f>
        <v>destektesvik-b</v>
      </c>
      <c r="B12" s="7" t="str">
        <f>Secenekler!C12</f>
        <v>Mali müşavir ve danışman portföy tarama paketi</v>
      </c>
      <c r="C12" s="8">
        <f>INDEX(Hedef!$C$17:$C$21,Kanit!C12+1)</f>
        <v>0.3</v>
      </c>
      <c r="D12" s="8">
        <f>INDEX(Hedef!$C$17:$C$21,Kanit!D12+1)</f>
        <v>0.5</v>
      </c>
      <c r="E12" s="8">
        <f>INDEX(Hedef!$C$17:$C$21,Kanit!E12+1)</f>
        <v>0.5</v>
      </c>
      <c r="F12" s="8">
        <f>INDEX(Hedef!$C$17:$C$21,Kanit!F12+1)</f>
        <v>0.5</v>
      </c>
      <c r="G12" s="8">
        <f>INDEX(Hedef!$C$17:$C$21,Kanit!G12+1)</f>
        <v>0.3</v>
      </c>
      <c r="H12" s="8">
        <f>INDEX(Hedef!$C$17:$C$21,Kanit!H12+1)</f>
        <v>0.5</v>
      </c>
      <c r="I12" s="8">
        <f>INDEX(Hedef!$C$17:$C$21,Kanit!I12+1)</f>
        <v>0.3</v>
      </c>
      <c r="J12" s="8">
        <f>INDEX(Hedef!$C$17:$C$21,Kanit!J12+1)</f>
        <v>0.3</v>
      </c>
      <c r="K12" s="8">
        <f>INDEX(Hedef!$C$17:$C$21,Kanit!K12+1)</f>
        <v>0.3</v>
      </c>
      <c r="L12" s="8">
        <f>INDEX(Hedef!$C$17:$C$21,Kanit!L12+1)</f>
        <v>0.3</v>
      </c>
      <c r="M12" s="8">
        <f>INDEX(Hedef!$C$17:$C$21,Kanit!M12+1)</f>
        <v>0.5</v>
      </c>
      <c r="N12" s="8">
        <f>INDEX(Hedef!$C$17:$C$21,Kanit!N12+1)</f>
        <v>0.3</v>
      </c>
      <c r="O12" s="8">
        <f>INDEX(Hedef!$C$17:$C$21,Kanit!O12+1)</f>
        <v>0.3</v>
      </c>
      <c r="P12" s="8">
        <f>INDEX(Hedef!$C$17:$C$21,Kanit!P12+1)</f>
        <v>0.3</v>
      </c>
      <c r="Q12" s="8">
        <f>INDEX(Hedef!$C$17:$C$21,Kanit!Q12+1)</f>
        <v>0.3</v>
      </c>
      <c r="R12" s="8">
        <f>INDEX(Hedef!$C$17:$C$21,Kanit!R12+1)</f>
        <v>0.3</v>
      </c>
      <c r="S12" s="8">
        <f>INDEX(Hedef!$C$17:$C$21,Kanit!S12+1)</f>
        <v>0.3</v>
      </c>
      <c r="T12" s="8">
        <f>INDEX(Hedef!$C$17:$C$21,Kanit!T12+1)</f>
        <v>0.3</v>
      </c>
      <c r="U12" s="8">
        <f>INDEX(Hedef!$C$17:$C$21,Kanit!U12+1)</f>
        <v>0.5</v>
      </c>
      <c r="V12" s="8">
        <f>INDEX(Hedef!$C$17:$C$21,Kanit!V12+1)</f>
        <v>0.5</v>
      </c>
      <c r="W12" s="8">
        <f>INDEX(Hedef!$C$17:$C$21,Kanit!W12+1)</f>
        <v>0.3</v>
      </c>
      <c r="X12" s="8">
        <f>INDEX(Hedef!$C$17:$C$21,Kanit!X12+1)</f>
        <v>0.3</v>
      </c>
      <c r="Y12" s="8">
        <f>INDEX(Hedef!$C$17:$C$21,Kanit!Y12+1)</f>
        <v>0.5</v>
      </c>
      <c r="Z12" s="8">
        <f>INDEX(Hedef!$C$17:$C$21,Kanit!Z12+1)</f>
        <v>0.3</v>
      </c>
      <c r="AA12" s="8">
        <f>INDEX(Hedef!$C$17:$C$21,Kanit!AA12+1)</f>
        <v>0.3</v>
      </c>
      <c r="AB12" s="8">
        <f>INDEX(Hedef!$C$17:$C$21,Kanit!AB12+1)</f>
        <v>0.3</v>
      </c>
      <c r="AD12" s="8">
        <f>INDEX(Hedef!$C$17:$C$21,Kanit!AD12+1)</f>
        <v>0.5</v>
      </c>
      <c r="AE12" s="8">
        <f>INDEX(Hedef!$C$17:$C$21,Kanit!AE12+1)</f>
        <v>0.3</v>
      </c>
      <c r="AF12" s="8">
        <f>INDEX(Hedef!$C$17:$C$21,Kanit!AF12+1)</f>
        <v>0.3</v>
      </c>
      <c r="AG12" s="8">
        <f>INDEX(Hedef!$C$17:$C$21,Kanit!AG12+1)</f>
        <v>0.3</v>
      </c>
    </row>
    <row r="13">
      <c r="A13" s="7" t="str">
        <f>Secenekler!A13</f>
        <v>destektesvik-c</v>
      </c>
      <c r="B13" s="7" t="str">
        <f>Secenekler!C13</f>
        <v>Oda ve OSB üye taraması sponsorluk paketi</v>
      </c>
      <c r="C13" s="8">
        <f>INDEX(Hedef!$C$17:$C$21,Kanit!C13+1)</f>
        <v>0.3</v>
      </c>
      <c r="D13" s="8">
        <f>INDEX(Hedef!$C$17:$C$21,Kanit!D13+1)</f>
        <v>0.3</v>
      </c>
      <c r="E13" s="8">
        <f>INDEX(Hedef!$C$17:$C$21,Kanit!E13+1)</f>
        <v>0.3</v>
      </c>
      <c r="F13" s="8">
        <f>INDEX(Hedef!$C$17:$C$21,Kanit!F13+1)</f>
        <v>0.5</v>
      </c>
      <c r="G13" s="8">
        <f>INDEX(Hedef!$C$17:$C$21,Kanit!G13+1)</f>
        <v>0.3</v>
      </c>
      <c r="H13" s="8">
        <f>INDEX(Hedef!$C$17:$C$21,Kanit!H13+1)</f>
        <v>0.3</v>
      </c>
      <c r="I13" s="8">
        <f>INDEX(Hedef!$C$17:$C$21,Kanit!I13+1)</f>
        <v>0.3</v>
      </c>
      <c r="J13" s="8">
        <f>INDEX(Hedef!$C$17:$C$21,Kanit!J13+1)</f>
        <v>0.3</v>
      </c>
      <c r="K13" s="8">
        <f>INDEX(Hedef!$C$17:$C$21,Kanit!K13+1)</f>
        <v>0.3</v>
      </c>
      <c r="L13" s="8">
        <f>INDEX(Hedef!$C$17:$C$21,Kanit!L13+1)</f>
        <v>0.3</v>
      </c>
      <c r="M13" s="8">
        <f>INDEX(Hedef!$C$17:$C$21,Kanit!M13+1)</f>
        <v>0.5</v>
      </c>
      <c r="N13" s="8">
        <f>INDEX(Hedef!$C$17:$C$21,Kanit!N13+1)</f>
        <v>0.3</v>
      </c>
      <c r="O13" s="8">
        <f>INDEX(Hedef!$C$17:$C$21,Kanit!O13+1)</f>
        <v>0.3</v>
      </c>
      <c r="P13" s="8">
        <f>INDEX(Hedef!$C$17:$C$21,Kanit!P13+1)</f>
        <v>0.3</v>
      </c>
      <c r="Q13" s="8">
        <f>INDEX(Hedef!$C$17:$C$21,Kanit!Q13+1)</f>
        <v>0.3</v>
      </c>
      <c r="R13" s="8">
        <f>INDEX(Hedef!$C$17:$C$21,Kanit!R13+1)</f>
        <v>0.3</v>
      </c>
      <c r="S13" s="8">
        <f>INDEX(Hedef!$C$17:$C$21,Kanit!S13+1)</f>
        <v>0.3</v>
      </c>
      <c r="T13" s="8">
        <f>INDEX(Hedef!$C$17:$C$21,Kanit!T13+1)</f>
        <v>0.3</v>
      </c>
      <c r="U13" s="8">
        <f>INDEX(Hedef!$C$17:$C$21,Kanit!U13+1)</f>
        <v>0.5</v>
      </c>
      <c r="V13" s="8">
        <f>INDEX(Hedef!$C$17:$C$21,Kanit!V13+1)</f>
        <v>0.3</v>
      </c>
      <c r="W13" s="8">
        <f>INDEX(Hedef!$C$17:$C$21,Kanit!W13+1)</f>
        <v>0.3</v>
      </c>
      <c r="X13" s="8">
        <f>INDEX(Hedef!$C$17:$C$21,Kanit!X13+1)</f>
        <v>0.3</v>
      </c>
      <c r="Y13" s="8">
        <f>INDEX(Hedef!$C$17:$C$21,Kanit!Y13+1)</f>
        <v>0.3</v>
      </c>
      <c r="Z13" s="8">
        <f>INDEX(Hedef!$C$17:$C$21,Kanit!Z13+1)</f>
        <v>0.3</v>
      </c>
      <c r="AA13" s="8">
        <f>INDEX(Hedef!$C$17:$C$21,Kanit!AA13+1)</f>
        <v>0.3</v>
      </c>
      <c r="AB13" s="8">
        <f>INDEX(Hedef!$C$17:$C$21,Kanit!AB13+1)</f>
        <v>0.3</v>
      </c>
      <c r="AD13" s="8">
        <f>INDEX(Hedef!$C$17:$C$21,Kanit!AD13+1)</f>
        <v>0.5</v>
      </c>
      <c r="AE13" s="8">
        <f>INDEX(Hedef!$C$17:$C$21,Kanit!AE13+1)</f>
        <v>0.3</v>
      </c>
      <c r="AF13" s="8">
        <f>INDEX(Hedef!$C$17:$C$21,Kanit!AF13+1)</f>
        <v>0.3</v>
      </c>
      <c r="AG13" s="8">
        <f>INDEX(Hedef!$C$17:$C$21,Kanit!AG13+1)</f>
        <v>0.3</v>
      </c>
    </row>
    <row r="14">
      <c r="A14" s="7" t="str">
        <f>Secenekler!A14</f>
        <v>asgari-iscilik-a</v>
      </c>
      <c r="B14" s="7" t="str">
        <f>Secenekler!C14</f>
        <v>Bir inşaat firmasına sabit fiyatlı uyum yazılımı projesi</v>
      </c>
      <c r="C14" s="8">
        <f>INDEX(Hedef!$C$17:$C$21,Kanit!C14+1)</f>
        <v>0.5</v>
      </c>
      <c r="D14" s="8">
        <f>INDEX(Hedef!$C$17:$C$21,Kanit!D14+1)</f>
        <v>0.5</v>
      </c>
      <c r="E14" s="8">
        <f>INDEX(Hedef!$C$17:$C$21,Kanit!E14+1)</f>
        <v>0.5</v>
      </c>
      <c r="F14" s="8">
        <f>INDEX(Hedef!$C$17:$C$21,Kanit!F14+1)</f>
        <v>0.5</v>
      </c>
      <c r="G14" s="8">
        <f>INDEX(Hedef!$C$17:$C$21,Kanit!G14+1)</f>
        <v>0.5</v>
      </c>
      <c r="H14" s="8">
        <f>INDEX(Hedef!$C$17:$C$21,Kanit!H14+1)</f>
        <v>0.5</v>
      </c>
      <c r="I14" s="8">
        <f>INDEX(Hedef!$C$17:$C$21,Kanit!I14+1)</f>
        <v>0.7</v>
      </c>
      <c r="J14" s="8">
        <f>INDEX(Hedef!$C$17:$C$21,Kanit!J14+1)</f>
        <v>0.3</v>
      </c>
      <c r="K14" s="8">
        <f>INDEX(Hedef!$C$17:$C$21,Kanit!K14+1)</f>
        <v>0.3</v>
      </c>
      <c r="L14" s="8">
        <f>INDEX(Hedef!$C$17:$C$21,Kanit!L14+1)</f>
        <v>0.3</v>
      </c>
      <c r="M14" s="8">
        <f>INDEX(Hedef!$C$17:$C$21,Kanit!M14+1)</f>
        <v>0.5</v>
      </c>
      <c r="N14" s="8">
        <f>INDEX(Hedef!$C$17:$C$21,Kanit!N14+1)</f>
        <v>0.5</v>
      </c>
      <c r="O14" s="8">
        <f>INDEX(Hedef!$C$17:$C$21,Kanit!O14+1)</f>
        <v>0.3</v>
      </c>
      <c r="P14" s="8">
        <f>INDEX(Hedef!$C$17:$C$21,Kanit!P14+1)</f>
        <v>0.5</v>
      </c>
      <c r="Q14" s="8">
        <f>INDEX(Hedef!$C$17:$C$21,Kanit!Q14+1)</f>
        <v>0.5</v>
      </c>
      <c r="R14" s="8">
        <f>INDEX(Hedef!$C$17:$C$21,Kanit!R14+1)</f>
        <v>0.3</v>
      </c>
      <c r="S14" s="8">
        <f>INDEX(Hedef!$C$17:$C$21,Kanit!S14+1)</f>
        <v>0.5</v>
      </c>
      <c r="T14" s="8">
        <f>INDEX(Hedef!$C$17:$C$21,Kanit!T14+1)</f>
        <v>0.5</v>
      </c>
      <c r="U14" s="8">
        <f>INDEX(Hedef!$C$17:$C$21,Kanit!U14+1)</f>
        <v>0.5</v>
      </c>
      <c r="V14" s="8">
        <f>INDEX(Hedef!$C$17:$C$21,Kanit!V14+1)</f>
        <v>0.3</v>
      </c>
      <c r="W14" s="8">
        <f>INDEX(Hedef!$C$17:$C$21,Kanit!W14+1)</f>
        <v>0.3</v>
      </c>
      <c r="X14" s="8">
        <f>INDEX(Hedef!$C$17:$C$21,Kanit!X14+1)</f>
        <v>0.5</v>
      </c>
      <c r="Y14" s="8">
        <f>INDEX(Hedef!$C$17:$C$21,Kanit!Y14+1)</f>
        <v>0.5</v>
      </c>
      <c r="Z14" s="8">
        <f>INDEX(Hedef!$C$17:$C$21,Kanit!Z14+1)</f>
        <v>0.3</v>
      </c>
      <c r="AA14" s="8">
        <f>INDEX(Hedef!$C$17:$C$21,Kanit!AA14+1)</f>
        <v>0.5</v>
      </c>
      <c r="AB14" s="8">
        <f>INDEX(Hedef!$C$17:$C$21,Kanit!AB14+1)</f>
        <v>0.3</v>
      </c>
      <c r="AD14" s="8">
        <f>INDEX(Hedef!$C$17:$C$21,Kanit!AD14+1)</f>
        <v>0.5</v>
      </c>
      <c r="AE14" s="8">
        <f>INDEX(Hedef!$C$17:$C$21,Kanit!AE14+1)</f>
        <v>0.5</v>
      </c>
      <c r="AF14" s="8">
        <f>INDEX(Hedef!$C$17:$C$21,Kanit!AF14+1)</f>
        <v>0.3</v>
      </c>
      <c r="AG14" s="8">
        <f>INDEX(Hedef!$C$17:$C$21,Kanit!AG14+1)</f>
        <v>0.3</v>
      </c>
    </row>
    <row r="15">
      <c r="A15" s="7" t="str">
        <f>Secenekler!A15</f>
        <v>asgari-iscilik-b</v>
      </c>
      <c r="B15" s="7" t="str">
        <f>Secenekler!C15</f>
        <v>Mali müşavir ve yükleniciye aylık abonelik (çok kiracılı platform)</v>
      </c>
      <c r="C15" s="8">
        <f>INDEX(Hedef!$C$17:$C$21,Kanit!C15+1)</f>
        <v>0.5</v>
      </c>
      <c r="D15" s="8">
        <f>INDEX(Hedef!$C$17:$C$21,Kanit!D15+1)</f>
        <v>0.5</v>
      </c>
      <c r="E15" s="8">
        <f>INDEX(Hedef!$C$17:$C$21,Kanit!E15+1)</f>
        <v>0.3</v>
      </c>
      <c r="F15" s="8">
        <f>INDEX(Hedef!$C$17:$C$21,Kanit!F15+1)</f>
        <v>0.5</v>
      </c>
      <c r="G15" s="8">
        <f>INDEX(Hedef!$C$17:$C$21,Kanit!G15+1)</f>
        <v>0.3</v>
      </c>
      <c r="H15" s="8">
        <f>INDEX(Hedef!$C$17:$C$21,Kanit!H15+1)</f>
        <v>0.5</v>
      </c>
      <c r="I15" s="8">
        <f>INDEX(Hedef!$C$17:$C$21,Kanit!I15+1)</f>
        <v>0.5</v>
      </c>
      <c r="J15" s="8">
        <f>INDEX(Hedef!$C$17:$C$21,Kanit!J15+1)</f>
        <v>0.3</v>
      </c>
      <c r="K15" s="8">
        <f>INDEX(Hedef!$C$17:$C$21,Kanit!K15+1)</f>
        <v>0.3</v>
      </c>
      <c r="L15" s="8">
        <f>INDEX(Hedef!$C$17:$C$21,Kanit!L15+1)</f>
        <v>0.3</v>
      </c>
      <c r="M15" s="8">
        <f>INDEX(Hedef!$C$17:$C$21,Kanit!M15+1)</f>
        <v>0.5</v>
      </c>
      <c r="N15" s="8">
        <f>INDEX(Hedef!$C$17:$C$21,Kanit!N15+1)</f>
        <v>0.3</v>
      </c>
      <c r="O15" s="8">
        <f>INDEX(Hedef!$C$17:$C$21,Kanit!O15+1)</f>
        <v>0.3</v>
      </c>
      <c r="P15" s="8">
        <f>INDEX(Hedef!$C$17:$C$21,Kanit!P15+1)</f>
        <v>0.5</v>
      </c>
      <c r="Q15" s="8">
        <f>INDEX(Hedef!$C$17:$C$21,Kanit!Q15+1)</f>
        <v>0.3</v>
      </c>
      <c r="R15" s="8">
        <f>INDEX(Hedef!$C$17:$C$21,Kanit!R15+1)</f>
        <v>0.3</v>
      </c>
      <c r="S15" s="8">
        <f>INDEX(Hedef!$C$17:$C$21,Kanit!S15+1)</f>
        <v>0.3</v>
      </c>
      <c r="T15" s="8">
        <f>INDEX(Hedef!$C$17:$C$21,Kanit!T15+1)</f>
        <v>0.3</v>
      </c>
      <c r="U15" s="8">
        <f>INDEX(Hedef!$C$17:$C$21,Kanit!U15+1)</f>
        <v>0.3</v>
      </c>
      <c r="V15" s="8">
        <f>INDEX(Hedef!$C$17:$C$21,Kanit!V15+1)</f>
        <v>0.3</v>
      </c>
      <c r="W15" s="8">
        <f>INDEX(Hedef!$C$17:$C$21,Kanit!W15+1)</f>
        <v>0.3</v>
      </c>
      <c r="X15" s="8">
        <f>INDEX(Hedef!$C$17:$C$21,Kanit!X15+1)</f>
        <v>0.3</v>
      </c>
      <c r="Y15" s="8">
        <f>INDEX(Hedef!$C$17:$C$21,Kanit!Y15+1)</f>
        <v>0.5</v>
      </c>
      <c r="Z15" s="8">
        <f>INDEX(Hedef!$C$17:$C$21,Kanit!Z15+1)</f>
        <v>0.3</v>
      </c>
      <c r="AA15" s="8">
        <f>INDEX(Hedef!$C$17:$C$21,Kanit!AA15+1)</f>
        <v>0.5</v>
      </c>
      <c r="AB15" s="8">
        <f>INDEX(Hedef!$C$17:$C$21,Kanit!AB15+1)</f>
        <v>0.3</v>
      </c>
      <c r="AD15" s="8">
        <f>INDEX(Hedef!$C$17:$C$21,Kanit!AD15+1)</f>
        <v>0.5</v>
      </c>
      <c r="AE15" s="8">
        <f>INDEX(Hedef!$C$17:$C$21,Kanit!AE15+1)</f>
        <v>0.5</v>
      </c>
      <c r="AF15" s="8">
        <f>INDEX(Hedef!$C$17:$C$21,Kanit!AF15+1)</f>
        <v>0.3</v>
      </c>
      <c r="AG15" s="8">
        <f>INDEX(Hedef!$C$17:$C$21,Kanit!AG15+1)</f>
        <v>0.3</v>
      </c>
    </row>
    <row r="16">
      <c r="A16" s="7" t="str">
        <f>Secenekler!A16</f>
        <v>asgari-iscilik-c</v>
      </c>
      <c r="B16" s="7" t="str">
        <f>Secenekler!C16</f>
        <v>Asgari işçilik hesap ve dosya kontrol raporu (uzman teyitli)</v>
      </c>
      <c r="C16" s="8">
        <f>INDEX(Hedef!$C$17:$C$21,Kanit!C16+1)</f>
        <v>0.5</v>
      </c>
      <c r="D16" s="8">
        <f>INDEX(Hedef!$C$17:$C$21,Kanit!D16+1)</f>
        <v>0.5</v>
      </c>
      <c r="E16" s="8">
        <f>INDEX(Hedef!$C$17:$C$21,Kanit!E16+1)</f>
        <v>0.3</v>
      </c>
      <c r="F16" s="8">
        <f>INDEX(Hedef!$C$17:$C$21,Kanit!F16+1)</f>
        <v>0.5</v>
      </c>
      <c r="G16" s="8">
        <f>INDEX(Hedef!$C$17:$C$21,Kanit!G16+1)</f>
        <v>0.3</v>
      </c>
      <c r="H16" s="8">
        <f>INDEX(Hedef!$C$17:$C$21,Kanit!H16+1)</f>
        <v>0.3</v>
      </c>
      <c r="I16" s="8">
        <f>INDEX(Hedef!$C$17:$C$21,Kanit!I16+1)</f>
        <v>0.5</v>
      </c>
      <c r="J16" s="8">
        <f>INDEX(Hedef!$C$17:$C$21,Kanit!J16+1)</f>
        <v>0.3</v>
      </c>
      <c r="K16" s="8">
        <f>INDEX(Hedef!$C$17:$C$21,Kanit!K16+1)</f>
        <v>0.3</v>
      </c>
      <c r="L16" s="8">
        <f>INDEX(Hedef!$C$17:$C$21,Kanit!L16+1)</f>
        <v>0.3</v>
      </c>
      <c r="M16" s="8">
        <f>INDEX(Hedef!$C$17:$C$21,Kanit!M16+1)</f>
        <v>0.5</v>
      </c>
      <c r="N16" s="8">
        <f>INDEX(Hedef!$C$17:$C$21,Kanit!N16+1)</f>
        <v>0.3</v>
      </c>
      <c r="O16" s="8">
        <f>INDEX(Hedef!$C$17:$C$21,Kanit!O16+1)</f>
        <v>0.3</v>
      </c>
      <c r="P16" s="8">
        <f>INDEX(Hedef!$C$17:$C$21,Kanit!P16+1)</f>
        <v>0.5</v>
      </c>
      <c r="Q16" s="8">
        <f>INDEX(Hedef!$C$17:$C$21,Kanit!Q16+1)</f>
        <v>0.3</v>
      </c>
      <c r="R16" s="8">
        <f>INDEX(Hedef!$C$17:$C$21,Kanit!R16+1)</f>
        <v>0.3</v>
      </c>
      <c r="S16" s="8">
        <f>INDEX(Hedef!$C$17:$C$21,Kanit!S16+1)</f>
        <v>0.3</v>
      </c>
      <c r="T16" s="8">
        <f>INDEX(Hedef!$C$17:$C$21,Kanit!T16+1)</f>
        <v>0.3</v>
      </c>
      <c r="U16" s="8">
        <f>INDEX(Hedef!$C$17:$C$21,Kanit!U16+1)</f>
        <v>0.3</v>
      </c>
      <c r="V16" s="8">
        <f>INDEX(Hedef!$C$17:$C$21,Kanit!V16+1)</f>
        <v>0.3</v>
      </c>
      <c r="W16" s="8">
        <f>INDEX(Hedef!$C$17:$C$21,Kanit!W16+1)</f>
        <v>0.3</v>
      </c>
      <c r="X16" s="8">
        <f>INDEX(Hedef!$C$17:$C$21,Kanit!X16+1)</f>
        <v>0.3</v>
      </c>
      <c r="Y16" s="8">
        <f>INDEX(Hedef!$C$17:$C$21,Kanit!Y16+1)</f>
        <v>0.5</v>
      </c>
      <c r="Z16" s="8">
        <f>INDEX(Hedef!$C$17:$C$21,Kanit!Z16+1)</f>
        <v>0.3</v>
      </c>
      <c r="AA16" s="8">
        <f>INDEX(Hedef!$C$17:$C$21,Kanit!AA16+1)</f>
        <v>0.5</v>
      </c>
      <c r="AB16" s="8">
        <f>INDEX(Hedef!$C$17:$C$21,Kanit!AB16+1)</f>
        <v>0.3</v>
      </c>
      <c r="AD16" s="8">
        <f>INDEX(Hedef!$C$17:$C$21,Kanit!AD16+1)</f>
        <v>0.5</v>
      </c>
      <c r="AE16" s="8">
        <f>INDEX(Hedef!$C$17:$C$21,Kanit!AE16+1)</f>
        <v>0.3</v>
      </c>
      <c r="AF16" s="8">
        <f>INDEX(Hedef!$C$17:$C$21,Kanit!AF16+1)</f>
        <v>0.3</v>
      </c>
      <c r="AG16" s="8">
        <f>INDEX(Hedef!$C$17:$C$21,Kanit!AG16+1)</f>
        <v>0.3</v>
      </c>
    </row>
    <row r="17">
      <c r="A17" s="7" t="str">
        <f>Secenekler!A17</f>
        <v>zincir-danismanligi-a</v>
      </c>
      <c r="B17" s="7" t="str">
        <f>Secenekler!C17</f>
        <v>90 günlük dijital satış sistemi paketi (çok şubeli zincir)</v>
      </c>
      <c r="C17" s="8">
        <f>INDEX(Hedef!$C$17:$C$21,Kanit!C17+1)</f>
        <v>0.5</v>
      </c>
      <c r="D17" s="8">
        <f>INDEX(Hedef!$C$17:$C$21,Kanit!D17+1)</f>
        <v>0.5</v>
      </c>
      <c r="E17" s="8">
        <f>INDEX(Hedef!$C$17:$C$21,Kanit!E17+1)</f>
        <v>0.7</v>
      </c>
      <c r="F17" s="8">
        <f>INDEX(Hedef!$C$17:$C$21,Kanit!F17+1)</f>
        <v>0.5</v>
      </c>
      <c r="G17" s="8">
        <f>INDEX(Hedef!$C$17:$C$21,Kanit!G17+1)</f>
        <v>0.5</v>
      </c>
      <c r="H17" s="8">
        <f>INDEX(Hedef!$C$17:$C$21,Kanit!H17+1)</f>
        <v>0.5</v>
      </c>
      <c r="I17" s="8">
        <f>INDEX(Hedef!$C$17:$C$21,Kanit!I17+1)</f>
        <v>0.7</v>
      </c>
      <c r="J17" s="8">
        <f>INDEX(Hedef!$C$17:$C$21,Kanit!J17+1)</f>
        <v>0.3</v>
      </c>
      <c r="K17" s="8">
        <f>INDEX(Hedef!$C$17:$C$21,Kanit!K17+1)</f>
        <v>0.3</v>
      </c>
      <c r="L17" s="8">
        <f>INDEX(Hedef!$C$17:$C$21,Kanit!L17+1)</f>
        <v>0.3</v>
      </c>
      <c r="M17" s="8">
        <f>INDEX(Hedef!$C$17:$C$21,Kanit!M17+1)</f>
        <v>0.5</v>
      </c>
      <c r="N17" s="8">
        <f>INDEX(Hedef!$C$17:$C$21,Kanit!N17+1)</f>
        <v>0.3</v>
      </c>
      <c r="O17" s="8">
        <f>INDEX(Hedef!$C$17:$C$21,Kanit!O17+1)</f>
        <v>0.3</v>
      </c>
      <c r="P17" s="8">
        <f>INDEX(Hedef!$C$17:$C$21,Kanit!P17+1)</f>
        <v>0.5</v>
      </c>
      <c r="Q17" s="8">
        <f>INDEX(Hedef!$C$17:$C$21,Kanit!Q17+1)</f>
        <v>0.3</v>
      </c>
      <c r="R17" s="8">
        <f>INDEX(Hedef!$C$17:$C$21,Kanit!R17+1)</f>
        <v>0.3</v>
      </c>
      <c r="S17" s="8">
        <f>INDEX(Hedef!$C$17:$C$21,Kanit!S17+1)</f>
        <v>0.3</v>
      </c>
      <c r="T17" s="8">
        <f>INDEX(Hedef!$C$17:$C$21,Kanit!T17+1)</f>
        <v>0.5</v>
      </c>
      <c r="U17" s="8">
        <f>INDEX(Hedef!$C$17:$C$21,Kanit!U17+1)</f>
        <v>0.5</v>
      </c>
      <c r="V17" s="8">
        <f>INDEX(Hedef!$C$17:$C$21,Kanit!V17+1)</f>
        <v>0.3</v>
      </c>
      <c r="W17" s="8">
        <f>INDEX(Hedef!$C$17:$C$21,Kanit!W17+1)</f>
        <v>0.3</v>
      </c>
      <c r="X17" s="8">
        <f>INDEX(Hedef!$C$17:$C$21,Kanit!X17+1)</f>
        <v>0.7</v>
      </c>
      <c r="Y17" s="8">
        <f>INDEX(Hedef!$C$17:$C$21,Kanit!Y17+1)</f>
        <v>0.5</v>
      </c>
      <c r="Z17" s="8">
        <f>INDEX(Hedef!$C$17:$C$21,Kanit!Z17+1)</f>
        <v>0.3</v>
      </c>
      <c r="AA17" s="8">
        <f>INDEX(Hedef!$C$17:$C$21,Kanit!AA17+1)</f>
        <v>0.3</v>
      </c>
      <c r="AB17" s="8">
        <f>INDEX(Hedef!$C$17:$C$21,Kanit!AB17+1)</f>
        <v>0.3</v>
      </c>
      <c r="AD17" s="8">
        <f>INDEX(Hedef!$C$17:$C$21,Kanit!AD17+1)</f>
        <v>0.5</v>
      </c>
      <c r="AE17" s="8">
        <f>INDEX(Hedef!$C$17:$C$21,Kanit!AE17+1)</f>
        <v>0.3</v>
      </c>
      <c r="AF17" s="8">
        <f>INDEX(Hedef!$C$17:$C$21,Kanit!AF17+1)</f>
        <v>0.3</v>
      </c>
      <c r="AG17" s="8">
        <f>INDEX(Hedef!$C$17:$C$21,Kanit!AG17+1)</f>
        <v>0.5</v>
      </c>
    </row>
    <row r="18">
      <c r="A18" s="7" t="str">
        <f>Secenekler!A18</f>
        <v>zincir-danismanligi-b</v>
      </c>
      <c r="B18" s="7" t="str">
        <f>Secenekler!C18</f>
        <v>Kahve zinciri dijital denetim raporu (2 hafta)</v>
      </c>
      <c r="C18" s="8">
        <f>INDEX(Hedef!$C$17:$C$21,Kanit!C18+1)</f>
        <v>0.3</v>
      </c>
      <c r="D18" s="8">
        <f>INDEX(Hedef!$C$17:$C$21,Kanit!D18+1)</f>
        <v>0.3</v>
      </c>
      <c r="E18" s="8">
        <f>INDEX(Hedef!$C$17:$C$21,Kanit!E18+1)</f>
        <v>0.3</v>
      </c>
      <c r="F18" s="8">
        <f>INDEX(Hedef!$C$17:$C$21,Kanit!F18+1)</f>
        <v>0.5</v>
      </c>
      <c r="G18" s="8">
        <f>INDEX(Hedef!$C$17:$C$21,Kanit!G18+1)</f>
        <v>0.3</v>
      </c>
      <c r="H18" s="8">
        <f>INDEX(Hedef!$C$17:$C$21,Kanit!H18+1)</f>
        <v>0.3</v>
      </c>
      <c r="I18" s="8">
        <f>INDEX(Hedef!$C$17:$C$21,Kanit!I18+1)</f>
        <v>0.5</v>
      </c>
      <c r="J18" s="8">
        <f>INDEX(Hedef!$C$17:$C$21,Kanit!J18+1)</f>
        <v>0.3</v>
      </c>
      <c r="K18" s="8">
        <f>INDEX(Hedef!$C$17:$C$21,Kanit!K18+1)</f>
        <v>0.3</v>
      </c>
      <c r="L18" s="8">
        <f>INDEX(Hedef!$C$17:$C$21,Kanit!L18+1)</f>
        <v>0.3</v>
      </c>
      <c r="M18" s="8">
        <f>INDEX(Hedef!$C$17:$C$21,Kanit!M18+1)</f>
        <v>0.5</v>
      </c>
      <c r="N18" s="8">
        <f>INDEX(Hedef!$C$17:$C$21,Kanit!N18+1)</f>
        <v>0.5</v>
      </c>
      <c r="O18" s="8">
        <f>INDEX(Hedef!$C$17:$C$21,Kanit!O18+1)</f>
        <v>0.3</v>
      </c>
      <c r="P18" s="8">
        <f>INDEX(Hedef!$C$17:$C$21,Kanit!P18+1)</f>
        <v>0.5</v>
      </c>
      <c r="Q18" s="8">
        <f>INDEX(Hedef!$C$17:$C$21,Kanit!Q18+1)</f>
        <v>0.3</v>
      </c>
      <c r="R18" s="8">
        <f>INDEX(Hedef!$C$17:$C$21,Kanit!R18+1)</f>
        <v>0.3</v>
      </c>
      <c r="S18" s="8">
        <f>INDEX(Hedef!$C$17:$C$21,Kanit!S18+1)</f>
        <v>0.3</v>
      </c>
      <c r="T18" s="8">
        <f>INDEX(Hedef!$C$17:$C$21,Kanit!T18+1)</f>
        <v>0.5</v>
      </c>
      <c r="U18" s="8">
        <f>INDEX(Hedef!$C$17:$C$21,Kanit!U18+1)</f>
        <v>0.3</v>
      </c>
      <c r="V18" s="8">
        <f>INDEX(Hedef!$C$17:$C$21,Kanit!V18+1)</f>
        <v>0.3</v>
      </c>
      <c r="W18" s="8">
        <f>INDEX(Hedef!$C$17:$C$21,Kanit!W18+1)</f>
        <v>0.3</v>
      </c>
      <c r="X18" s="8">
        <f>INDEX(Hedef!$C$17:$C$21,Kanit!X18+1)</f>
        <v>0.7</v>
      </c>
      <c r="Y18" s="8">
        <f>INDEX(Hedef!$C$17:$C$21,Kanit!Y18+1)</f>
        <v>0.5</v>
      </c>
      <c r="Z18" s="8">
        <f>INDEX(Hedef!$C$17:$C$21,Kanit!Z18+1)</f>
        <v>0.3</v>
      </c>
      <c r="AA18" s="8">
        <f>INDEX(Hedef!$C$17:$C$21,Kanit!AA18+1)</f>
        <v>0.3</v>
      </c>
      <c r="AB18" s="8">
        <f>INDEX(Hedef!$C$17:$C$21,Kanit!AB18+1)</f>
        <v>0.3</v>
      </c>
      <c r="AD18" s="8">
        <f>INDEX(Hedef!$C$17:$C$21,Kanit!AD18+1)</f>
        <v>0.5</v>
      </c>
      <c r="AE18" s="8">
        <f>INDEX(Hedef!$C$17:$C$21,Kanit!AE18+1)</f>
        <v>0.3</v>
      </c>
      <c r="AF18" s="8">
        <f>INDEX(Hedef!$C$17:$C$21,Kanit!AF18+1)</f>
        <v>0.3</v>
      </c>
      <c r="AG18" s="8">
        <f>INDEX(Hedef!$C$17:$C$21,Kanit!AG18+1)</f>
        <v>0.3</v>
      </c>
    </row>
    <row r="19">
      <c r="A19" s="7" t="str">
        <f>Secenekler!A19</f>
        <v>zincir-danismanligi-c</v>
      </c>
      <c r="B19" s="7" t="str">
        <f>Secenekler!C19</f>
        <v>Merkezden yönetilen şube QR menüsü (Zabuno zincir planı)</v>
      </c>
      <c r="C19" s="8">
        <f>INDEX(Hedef!$C$17:$C$21,Kanit!C19+1)</f>
        <v>0.5</v>
      </c>
      <c r="D19" s="8">
        <f>INDEX(Hedef!$C$17:$C$21,Kanit!D19+1)</f>
        <v>0.5</v>
      </c>
      <c r="E19" s="8">
        <f>INDEX(Hedef!$C$17:$C$21,Kanit!E19+1)</f>
        <v>0.3</v>
      </c>
      <c r="F19" s="8">
        <f>INDEX(Hedef!$C$17:$C$21,Kanit!F19+1)</f>
        <v>0.5</v>
      </c>
      <c r="G19" s="8">
        <f>INDEX(Hedef!$C$17:$C$21,Kanit!G19+1)</f>
        <v>0.5</v>
      </c>
      <c r="H19" s="8">
        <f>INDEX(Hedef!$C$17:$C$21,Kanit!H19+1)</f>
        <v>0.5</v>
      </c>
      <c r="I19" s="8">
        <f>INDEX(Hedef!$C$17:$C$21,Kanit!I19+1)</f>
        <v>0.7</v>
      </c>
      <c r="J19" s="8">
        <f>INDEX(Hedef!$C$17:$C$21,Kanit!J19+1)</f>
        <v>0.3</v>
      </c>
      <c r="K19" s="8">
        <f>INDEX(Hedef!$C$17:$C$21,Kanit!K19+1)</f>
        <v>0.3</v>
      </c>
      <c r="L19" s="8">
        <f>INDEX(Hedef!$C$17:$C$21,Kanit!L19+1)</f>
        <v>0.3</v>
      </c>
      <c r="M19" s="8">
        <f>INDEX(Hedef!$C$17:$C$21,Kanit!M19+1)</f>
        <v>0.5</v>
      </c>
      <c r="N19" s="8">
        <f>INDEX(Hedef!$C$17:$C$21,Kanit!N19+1)</f>
        <v>0.3</v>
      </c>
      <c r="O19" s="8">
        <f>INDEX(Hedef!$C$17:$C$21,Kanit!O19+1)</f>
        <v>0.3</v>
      </c>
      <c r="P19" s="8">
        <f>INDEX(Hedef!$C$17:$C$21,Kanit!P19+1)</f>
        <v>0.3</v>
      </c>
      <c r="Q19" s="8">
        <f>INDEX(Hedef!$C$17:$C$21,Kanit!Q19+1)</f>
        <v>0.3</v>
      </c>
      <c r="R19" s="8">
        <f>INDEX(Hedef!$C$17:$C$21,Kanit!R19+1)</f>
        <v>0.5</v>
      </c>
      <c r="S19" s="8">
        <f>INDEX(Hedef!$C$17:$C$21,Kanit!S19+1)</f>
        <v>0.5</v>
      </c>
      <c r="T19" s="8">
        <f>INDEX(Hedef!$C$17:$C$21,Kanit!T19+1)</f>
        <v>0.5</v>
      </c>
      <c r="U19" s="8">
        <f>INDEX(Hedef!$C$17:$C$21,Kanit!U19+1)</f>
        <v>0.5</v>
      </c>
      <c r="V19" s="8">
        <f>INDEX(Hedef!$C$17:$C$21,Kanit!V19+1)</f>
        <v>0.5</v>
      </c>
      <c r="W19" s="8">
        <f>INDEX(Hedef!$C$17:$C$21,Kanit!W19+1)</f>
        <v>0.3</v>
      </c>
      <c r="X19" s="8">
        <f>INDEX(Hedef!$C$17:$C$21,Kanit!X19+1)</f>
        <v>0.5</v>
      </c>
      <c r="Y19" s="8">
        <f>INDEX(Hedef!$C$17:$C$21,Kanit!Y19+1)</f>
        <v>0.5</v>
      </c>
      <c r="Z19" s="8">
        <f>INDEX(Hedef!$C$17:$C$21,Kanit!Z19+1)</f>
        <v>0.3</v>
      </c>
      <c r="AA19" s="8">
        <f>INDEX(Hedef!$C$17:$C$21,Kanit!AA19+1)</f>
        <v>0.5</v>
      </c>
      <c r="AB19" s="8">
        <f>INDEX(Hedef!$C$17:$C$21,Kanit!AB19+1)</f>
        <v>0.3</v>
      </c>
      <c r="AD19" s="8">
        <f>INDEX(Hedef!$C$17:$C$21,Kanit!AD19+1)</f>
        <v>0.5</v>
      </c>
      <c r="AE19" s="8">
        <f>INDEX(Hedef!$C$17:$C$21,Kanit!AE19+1)</f>
        <v>0.5</v>
      </c>
      <c r="AF19" s="8">
        <f>INDEX(Hedef!$C$17:$C$21,Kanit!AF19+1)</f>
        <v>0.5</v>
      </c>
      <c r="AG19" s="8">
        <f>INDEX(Hedef!$C$17:$C$21,Kanit!AG19+1)</f>
        <v>0.5</v>
      </c>
    </row>
    <row r="20">
      <c r="A20" s="7" t="str">
        <f>Secenekler!A20</f>
        <v>kar-pusulasi-a</v>
      </c>
      <c r="B20" s="7" t="str">
        <f>Secenekler!C20</f>
        <v>Pro yıllık ve Kurucu Paketi (satıcıya yazılım)</v>
      </c>
      <c r="C20" s="8">
        <f>INDEX(Hedef!$C$17:$C$21,Kanit!C20+1)</f>
        <v>0.5</v>
      </c>
      <c r="D20" s="8">
        <f>INDEX(Hedef!$C$17:$C$21,Kanit!D20+1)</f>
        <v>0.5</v>
      </c>
      <c r="E20" s="8">
        <f>INDEX(Hedef!$C$17:$C$21,Kanit!E20+1)</f>
        <v>0.5</v>
      </c>
      <c r="F20" s="8">
        <f>INDEX(Hedef!$C$17:$C$21,Kanit!F20+1)</f>
        <v>0.5</v>
      </c>
      <c r="G20" s="8">
        <f>INDEX(Hedef!$C$17:$C$21,Kanit!G20+1)</f>
        <v>0.3</v>
      </c>
      <c r="H20" s="8">
        <f>INDEX(Hedef!$C$17:$C$21,Kanit!H20+1)</f>
        <v>0.5</v>
      </c>
      <c r="I20" s="8">
        <f>INDEX(Hedef!$C$17:$C$21,Kanit!I20+1)</f>
        <v>0.5</v>
      </c>
      <c r="J20" s="8">
        <f>INDEX(Hedef!$C$17:$C$21,Kanit!J20+1)</f>
        <v>0.5</v>
      </c>
      <c r="K20" s="8">
        <f>INDEX(Hedef!$C$17:$C$21,Kanit!K20+1)</f>
        <v>0.3</v>
      </c>
      <c r="L20" s="8">
        <f>INDEX(Hedef!$C$17:$C$21,Kanit!L20+1)</f>
        <v>0.3</v>
      </c>
      <c r="M20" s="8">
        <f>INDEX(Hedef!$C$17:$C$21,Kanit!M20+1)</f>
        <v>0.5</v>
      </c>
      <c r="N20" s="8">
        <f>INDEX(Hedef!$C$17:$C$21,Kanit!N20+1)</f>
        <v>0.5</v>
      </c>
      <c r="O20" s="8">
        <f>INDEX(Hedef!$C$17:$C$21,Kanit!O20+1)</f>
        <v>0.3</v>
      </c>
      <c r="P20" s="8">
        <f>INDEX(Hedef!$C$17:$C$21,Kanit!P20+1)</f>
        <v>0.5</v>
      </c>
      <c r="Q20" s="8">
        <f>INDEX(Hedef!$C$17:$C$21,Kanit!Q20+1)</f>
        <v>0.3</v>
      </c>
      <c r="R20" s="8">
        <f>INDEX(Hedef!$C$17:$C$21,Kanit!R20+1)</f>
        <v>0.5</v>
      </c>
      <c r="S20" s="8">
        <f>INDEX(Hedef!$C$17:$C$21,Kanit!S20+1)</f>
        <v>0.3</v>
      </c>
      <c r="T20" s="8">
        <f>INDEX(Hedef!$C$17:$C$21,Kanit!T20+1)</f>
        <v>0.5</v>
      </c>
      <c r="U20" s="8">
        <f>INDEX(Hedef!$C$17:$C$21,Kanit!U20+1)</f>
        <v>0.5</v>
      </c>
      <c r="V20" s="8">
        <f>INDEX(Hedef!$C$17:$C$21,Kanit!V20+1)</f>
        <v>0.5</v>
      </c>
      <c r="W20" s="8">
        <f>INDEX(Hedef!$C$17:$C$21,Kanit!W20+1)</f>
        <v>0.3</v>
      </c>
      <c r="X20" s="8">
        <f>INDEX(Hedef!$C$17:$C$21,Kanit!X20+1)</f>
        <v>0.5</v>
      </c>
      <c r="Y20" s="8">
        <f>INDEX(Hedef!$C$17:$C$21,Kanit!Y20+1)</f>
        <v>0.5</v>
      </c>
      <c r="Z20" s="8">
        <f>INDEX(Hedef!$C$17:$C$21,Kanit!Z20+1)</f>
        <v>0.3</v>
      </c>
      <c r="AA20" s="8">
        <f>INDEX(Hedef!$C$17:$C$21,Kanit!AA20+1)</f>
        <v>0.5</v>
      </c>
      <c r="AB20" s="8">
        <f>INDEX(Hedef!$C$17:$C$21,Kanit!AB20+1)</f>
        <v>0.3</v>
      </c>
      <c r="AD20" s="8">
        <f>INDEX(Hedef!$C$17:$C$21,Kanit!AD20+1)</f>
        <v>0.5</v>
      </c>
      <c r="AE20" s="8">
        <f>INDEX(Hedef!$C$17:$C$21,Kanit!AE20+1)</f>
        <v>0.5</v>
      </c>
      <c r="AF20" s="8">
        <f>INDEX(Hedef!$C$17:$C$21,Kanit!AF20+1)</f>
        <v>0.3</v>
      </c>
      <c r="AG20" s="8">
        <f>INDEX(Hedef!$C$17:$C$21,Kanit!AG20+1)</f>
        <v>0.5</v>
      </c>
    </row>
    <row r="21">
      <c r="A21" s="7" t="str">
        <f>Secenekler!A21</f>
        <v>kar-pusulasi-b</v>
      </c>
      <c r="B21" s="7" t="str">
        <f>Secenekler!C21</f>
        <v>Danışman ve ajans paneli (aylık abonelik)</v>
      </c>
      <c r="C21" s="8">
        <f>INDEX(Hedef!$C$17:$C$21,Kanit!C21+1)</f>
        <v>0.3</v>
      </c>
      <c r="D21" s="8">
        <f>INDEX(Hedef!$C$17:$C$21,Kanit!D21+1)</f>
        <v>0.5</v>
      </c>
      <c r="E21" s="8">
        <f>INDEX(Hedef!$C$17:$C$21,Kanit!E21+1)</f>
        <v>0.3</v>
      </c>
      <c r="F21" s="8">
        <f>INDEX(Hedef!$C$17:$C$21,Kanit!F21+1)</f>
        <v>0.5</v>
      </c>
      <c r="G21" s="8">
        <f>INDEX(Hedef!$C$17:$C$21,Kanit!G21+1)</f>
        <v>0.3</v>
      </c>
      <c r="H21" s="8">
        <f>INDEX(Hedef!$C$17:$C$21,Kanit!H21+1)</f>
        <v>0.3</v>
      </c>
      <c r="I21" s="8">
        <f>INDEX(Hedef!$C$17:$C$21,Kanit!I21+1)</f>
        <v>0.3</v>
      </c>
      <c r="J21" s="8">
        <f>INDEX(Hedef!$C$17:$C$21,Kanit!J21+1)</f>
        <v>0.3</v>
      </c>
      <c r="K21" s="8">
        <f>INDEX(Hedef!$C$17:$C$21,Kanit!K21+1)</f>
        <v>0.3</v>
      </c>
      <c r="L21" s="8">
        <f>INDEX(Hedef!$C$17:$C$21,Kanit!L21+1)</f>
        <v>0.3</v>
      </c>
      <c r="M21" s="8">
        <f>INDEX(Hedef!$C$17:$C$21,Kanit!M21+1)</f>
        <v>0.3</v>
      </c>
      <c r="N21" s="8">
        <f>INDEX(Hedef!$C$17:$C$21,Kanit!N21+1)</f>
        <v>0.3</v>
      </c>
      <c r="O21" s="8">
        <f>INDEX(Hedef!$C$17:$C$21,Kanit!O21+1)</f>
        <v>0.3</v>
      </c>
      <c r="P21" s="8">
        <f>INDEX(Hedef!$C$17:$C$21,Kanit!P21+1)</f>
        <v>0.5</v>
      </c>
      <c r="Q21" s="8">
        <f>INDEX(Hedef!$C$17:$C$21,Kanit!Q21+1)</f>
        <v>0.3</v>
      </c>
      <c r="R21" s="8">
        <f>INDEX(Hedef!$C$17:$C$21,Kanit!R21+1)</f>
        <v>0.3</v>
      </c>
      <c r="S21" s="8">
        <f>INDEX(Hedef!$C$17:$C$21,Kanit!S21+1)</f>
        <v>0.3</v>
      </c>
      <c r="T21" s="8">
        <f>INDEX(Hedef!$C$17:$C$21,Kanit!T21+1)</f>
        <v>0.3</v>
      </c>
      <c r="U21" s="8">
        <f>INDEX(Hedef!$C$17:$C$21,Kanit!U21+1)</f>
        <v>0.3</v>
      </c>
      <c r="V21" s="8">
        <f>INDEX(Hedef!$C$17:$C$21,Kanit!V21+1)</f>
        <v>0.5</v>
      </c>
      <c r="W21" s="8">
        <f>INDEX(Hedef!$C$17:$C$21,Kanit!W21+1)</f>
        <v>0.3</v>
      </c>
      <c r="X21" s="8">
        <f>INDEX(Hedef!$C$17:$C$21,Kanit!X21+1)</f>
        <v>0.5</v>
      </c>
      <c r="Y21" s="8">
        <f>INDEX(Hedef!$C$17:$C$21,Kanit!Y21+1)</f>
        <v>0.5</v>
      </c>
      <c r="Z21" s="8">
        <f>INDEX(Hedef!$C$17:$C$21,Kanit!Z21+1)</f>
        <v>0.3</v>
      </c>
      <c r="AA21" s="8">
        <f>INDEX(Hedef!$C$17:$C$21,Kanit!AA21+1)</f>
        <v>0.5</v>
      </c>
      <c r="AB21" s="8">
        <f>INDEX(Hedef!$C$17:$C$21,Kanit!AB21+1)</f>
        <v>0.3</v>
      </c>
      <c r="AD21" s="8">
        <f>INDEX(Hedef!$C$17:$C$21,Kanit!AD21+1)</f>
        <v>0.3</v>
      </c>
      <c r="AE21" s="8">
        <f>INDEX(Hedef!$C$17:$C$21,Kanit!AE21+1)</f>
        <v>0.3</v>
      </c>
      <c r="AF21" s="8">
        <f>INDEX(Hedef!$C$17:$C$21,Kanit!AF21+1)</f>
        <v>0.3</v>
      </c>
      <c r="AG21" s="8">
        <f>INDEX(Hedef!$C$17:$C$21,Kanit!AG21+1)</f>
        <v>0.3</v>
      </c>
    </row>
    <row r="22">
      <c r="A22" s="7" t="str">
        <f>Secenekler!A22</f>
        <v>kar-pusulasi-c</v>
      </c>
      <c r="B22" s="7" t="str">
        <f>Secenekler!C22</f>
        <v>SKU katkı raporu (sabit fiyatlı hizmet)</v>
      </c>
      <c r="C22" s="8">
        <f>INDEX(Hedef!$C$17:$C$21,Kanit!C22+1)</f>
        <v>0.5</v>
      </c>
      <c r="D22" s="8">
        <f>INDEX(Hedef!$C$17:$C$21,Kanit!D22+1)</f>
        <v>0.5</v>
      </c>
      <c r="E22" s="8">
        <f>INDEX(Hedef!$C$17:$C$21,Kanit!E22+1)</f>
        <v>0.5</v>
      </c>
      <c r="F22" s="8">
        <f>INDEX(Hedef!$C$17:$C$21,Kanit!F22+1)</f>
        <v>0.5</v>
      </c>
      <c r="G22" s="8">
        <f>INDEX(Hedef!$C$17:$C$21,Kanit!G22+1)</f>
        <v>0.3</v>
      </c>
      <c r="H22" s="8">
        <f>INDEX(Hedef!$C$17:$C$21,Kanit!H22+1)</f>
        <v>0.5</v>
      </c>
      <c r="I22" s="8">
        <f>INDEX(Hedef!$C$17:$C$21,Kanit!I22+1)</f>
        <v>0.5</v>
      </c>
      <c r="J22" s="8">
        <f>INDEX(Hedef!$C$17:$C$21,Kanit!J22+1)</f>
        <v>0.3</v>
      </c>
      <c r="K22" s="8">
        <f>INDEX(Hedef!$C$17:$C$21,Kanit!K22+1)</f>
        <v>0.3</v>
      </c>
      <c r="L22" s="8">
        <f>INDEX(Hedef!$C$17:$C$21,Kanit!L22+1)</f>
        <v>0.3</v>
      </c>
      <c r="M22" s="8">
        <f>INDEX(Hedef!$C$17:$C$21,Kanit!M22+1)</f>
        <v>0.5</v>
      </c>
      <c r="N22" s="8">
        <f>INDEX(Hedef!$C$17:$C$21,Kanit!N22+1)</f>
        <v>0.5</v>
      </c>
      <c r="O22" s="8">
        <f>INDEX(Hedef!$C$17:$C$21,Kanit!O22+1)</f>
        <v>0.3</v>
      </c>
      <c r="P22" s="8">
        <f>INDEX(Hedef!$C$17:$C$21,Kanit!P22+1)</f>
        <v>0.5</v>
      </c>
      <c r="Q22" s="8">
        <f>INDEX(Hedef!$C$17:$C$21,Kanit!Q22+1)</f>
        <v>0.3</v>
      </c>
      <c r="R22" s="8">
        <f>INDEX(Hedef!$C$17:$C$21,Kanit!R22+1)</f>
        <v>0.3</v>
      </c>
      <c r="S22" s="8">
        <f>INDEX(Hedef!$C$17:$C$21,Kanit!S22+1)</f>
        <v>0.3</v>
      </c>
      <c r="T22" s="8">
        <f>INDEX(Hedef!$C$17:$C$21,Kanit!T22+1)</f>
        <v>0.3</v>
      </c>
      <c r="U22" s="8">
        <f>INDEX(Hedef!$C$17:$C$21,Kanit!U22+1)</f>
        <v>0.5</v>
      </c>
      <c r="V22" s="8">
        <f>INDEX(Hedef!$C$17:$C$21,Kanit!V22+1)</f>
        <v>0.5</v>
      </c>
      <c r="W22" s="8">
        <f>INDEX(Hedef!$C$17:$C$21,Kanit!W22+1)</f>
        <v>0.3</v>
      </c>
      <c r="X22" s="8">
        <f>INDEX(Hedef!$C$17:$C$21,Kanit!X22+1)</f>
        <v>0.5</v>
      </c>
      <c r="Y22" s="8">
        <f>INDEX(Hedef!$C$17:$C$21,Kanit!Y22+1)</f>
        <v>0.5</v>
      </c>
      <c r="Z22" s="8">
        <f>INDEX(Hedef!$C$17:$C$21,Kanit!Z22+1)</f>
        <v>0.3</v>
      </c>
      <c r="AA22" s="8">
        <f>INDEX(Hedef!$C$17:$C$21,Kanit!AA22+1)</f>
        <v>0.5</v>
      </c>
      <c r="AB22" s="8">
        <f>INDEX(Hedef!$C$17:$C$21,Kanit!AB22+1)</f>
        <v>0.3</v>
      </c>
      <c r="AD22" s="8">
        <f>INDEX(Hedef!$C$17:$C$21,Kanit!AD22+1)</f>
        <v>0.3</v>
      </c>
      <c r="AE22" s="8">
        <f>INDEX(Hedef!$C$17:$C$21,Kanit!AE22+1)</f>
        <v>0.5</v>
      </c>
      <c r="AF22" s="8">
        <f>INDEX(Hedef!$C$17:$C$21,Kanit!AF22+1)</f>
        <v>0.3</v>
      </c>
      <c r="AG22" s="8">
        <f>INDEX(Hedef!$C$17:$C$21,Kanit!AG22+1)</f>
        <v>0.3</v>
      </c>
    </row>
    <row r="23">
      <c r="A23" s="7" t="str">
        <f>Secenekler!A23</f>
        <v>titanlar-a</v>
      </c>
      <c r="B23" s="7" t="str">
        <f>Secenekler!C23</f>
        <v>Titan Programı: 10 haftalık canlı kohort</v>
      </c>
      <c r="C23" s="8">
        <f>INDEX(Hedef!$C$17:$C$21,Kanit!C23+1)</f>
        <v>0.5</v>
      </c>
      <c r="D23" s="8">
        <f>INDEX(Hedef!$C$17:$C$21,Kanit!D23+1)</f>
        <v>0.5</v>
      </c>
      <c r="E23" s="8">
        <f>INDEX(Hedef!$C$17:$C$21,Kanit!E23+1)</f>
        <v>0.5</v>
      </c>
      <c r="F23" s="8">
        <f>INDEX(Hedef!$C$17:$C$21,Kanit!F23+1)</f>
        <v>0.5</v>
      </c>
      <c r="G23" s="8">
        <f>INDEX(Hedef!$C$17:$C$21,Kanit!G23+1)</f>
        <v>0.3</v>
      </c>
      <c r="H23" s="8">
        <f>INDEX(Hedef!$C$17:$C$21,Kanit!H23+1)</f>
        <v>0.5</v>
      </c>
      <c r="I23" s="8">
        <f>INDEX(Hedef!$C$17:$C$21,Kanit!I23+1)</f>
        <v>0.3</v>
      </c>
      <c r="J23" s="8">
        <f>INDEX(Hedef!$C$17:$C$21,Kanit!J23+1)</f>
        <v>0.3</v>
      </c>
      <c r="K23" s="8">
        <f>INDEX(Hedef!$C$17:$C$21,Kanit!K23+1)</f>
        <v>0.5</v>
      </c>
      <c r="L23" s="8">
        <f>INDEX(Hedef!$C$17:$C$21,Kanit!L23+1)</f>
        <v>0.3</v>
      </c>
      <c r="M23" s="8">
        <f>INDEX(Hedef!$C$17:$C$21,Kanit!M23+1)</f>
        <v>0.5</v>
      </c>
      <c r="N23" s="8">
        <f>INDEX(Hedef!$C$17:$C$21,Kanit!N23+1)</f>
        <v>0.3</v>
      </c>
      <c r="O23" s="8">
        <f>INDEX(Hedef!$C$17:$C$21,Kanit!O23+1)</f>
        <v>0.3</v>
      </c>
      <c r="P23" s="8">
        <f>INDEX(Hedef!$C$17:$C$21,Kanit!P23+1)</f>
        <v>0.3</v>
      </c>
      <c r="Q23" s="8">
        <f>INDEX(Hedef!$C$17:$C$21,Kanit!Q23+1)</f>
        <v>0.3</v>
      </c>
      <c r="R23" s="8">
        <f>INDEX(Hedef!$C$17:$C$21,Kanit!R23+1)</f>
        <v>0.3</v>
      </c>
      <c r="S23" s="8">
        <f>INDEX(Hedef!$C$17:$C$21,Kanit!S23+1)</f>
        <v>0.3</v>
      </c>
      <c r="T23" s="8">
        <f>INDEX(Hedef!$C$17:$C$21,Kanit!T23+1)</f>
        <v>0.3</v>
      </c>
      <c r="U23" s="8">
        <f>INDEX(Hedef!$C$17:$C$21,Kanit!U23+1)</f>
        <v>0.5</v>
      </c>
      <c r="V23" s="8">
        <f>INDEX(Hedef!$C$17:$C$21,Kanit!V23+1)</f>
        <v>0.3</v>
      </c>
      <c r="W23" s="8">
        <f>INDEX(Hedef!$C$17:$C$21,Kanit!W23+1)</f>
        <v>0.3</v>
      </c>
      <c r="X23" s="8">
        <f>INDEX(Hedef!$C$17:$C$21,Kanit!X23+1)</f>
        <v>0.3</v>
      </c>
      <c r="Y23" s="8">
        <f>INDEX(Hedef!$C$17:$C$21,Kanit!Y23+1)</f>
        <v>0.5</v>
      </c>
      <c r="Z23" s="8">
        <f>INDEX(Hedef!$C$17:$C$21,Kanit!Z23+1)</f>
        <v>0.3</v>
      </c>
      <c r="AA23" s="8">
        <f>INDEX(Hedef!$C$17:$C$21,Kanit!AA23+1)</f>
        <v>0.5</v>
      </c>
      <c r="AB23" s="8">
        <f>INDEX(Hedef!$C$17:$C$21,Kanit!AB23+1)</f>
        <v>0.3</v>
      </c>
      <c r="AD23" s="8">
        <f>INDEX(Hedef!$C$17:$C$21,Kanit!AD23+1)</f>
        <v>0.5</v>
      </c>
      <c r="AE23" s="8">
        <f>INDEX(Hedef!$C$17:$C$21,Kanit!AE23+1)</f>
        <v>0.5</v>
      </c>
      <c r="AF23" s="8">
        <f>INDEX(Hedef!$C$17:$C$21,Kanit!AF23+1)</f>
        <v>0.3</v>
      </c>
      <c r="AG23" s="8">
        <f>INDEX(Hedef!$C$17:$C$21,Kanit!AG23+1)</f>
        <v>0.3</v>
      </c>
    </row>
    <row r="24">
      <c r="A24" s="7" t="str">
        <f>Secenekler!A24</f>
        <v>titanlar-b</v>
      </c>
      <c r="B24" s="7" t="str">
        <f>Secenekler!C24</f>
        <v>Kâr teşhisi: Giriş ve Strateji danışmanlığı</v>
      </c>
      <c r="C24" s="8">
        <f>INDEX(Hedef!$C$17:$C$21,Kanit!C24+1)</f>
        <v>0.5</v>
      </c>
      <c r="D24" s="8">
        <f>INDEX(Hedef!$C$17:$C$21,Kanit!D24+1)</f>
        <v>0.5</v>
      </c>
      <c r="E24" s="8">
        <f>INDEX(Hedef!$C$17:$C$21,Kanit!E24+1)</f>
        <v>0.5</v>
      </c>
      <c r="F24" s="8">
        <f>INDEX(Hedef!$C$17:$C$21,Kanit!F24+1)</f>
        <v>0.5</v>
      </c>
      <c r="G24" s="8">
        <f>INDEX(Hedef!$C$17:$C$21,Kanit!G24+1)</f>
        <v>0.3</v>
      </c>
      <c r="H24" s="8">
        <f>INDEX(Hedef!$C$17:$C$21,Kanit!H24+1)</f>
        <v>0.5</v>
      </c>
      <c r="I24" s="8">
        <f>INDEX(Hedef!$C$17:$C$21,Kanit!I24+1)</f>
        <v>0.3</v>
      </c>
      <c r="J24" s="8">
        <f>INDEX(Hedef!$C$17:$C$21,Kanit!J24+1)</f>
        <v>0.3</v>
      </c>
      <c r="K24" s="8">
        <f>INDEX(Hedef!$C$17:$C$21,Kanit!K24+1)</f>
        <v>0.3</v>
      </c>
      <c r="L24" s="8">
        <f>INDEX(Hedef!$C$17:$C$21,Kanit!L24+1)</f>
        <v>0.3</v>
      </c>
      <c r="M24" s="8">
        <f>INDEX(Hedef!$C$17:$C$21,Kanit!M24+1)</f>
        <v>0.5</v>
      </c>
      <c r="N24" s="8">
        <f>INDEX(Hedef!$C$17:$C$21,Kanit!N24+1)</f>
        <v>0.3</v>
      </c>
      <c r="O24" s="8">
        <f>INDEX(Hedef!$C$17:$C$21,Kanit!O24+1)</f>
        <v>0.3</v>
      </c>
      <c r="P24" s="8">
        <f>INDEX(Hedef!$C$17:$C$21,Kanit!P24+1)</f>
        <v>0.3</v>
      </c>
      <c r="Q24" s="8">
        <f>INDEX(Hedef!$C$17:$C$21,Kanit!Q24+1)</f>
        <v>0.3</v>
      </c>
      <c r="R24" s="8">
        <f>INDEX(Hedef!$C$17:$C$21,Kanit!R24+1)</f>
        <v>0.3</v>
      </c>
      <c r="S24" s="8">
        <f>INDEX(Hedef!$C$17:$C$21,Kanit!S24+1)</f>
        <v>0.3</v>
      </c>
      <c r="T24" s="8">
        <f>INDEX(Hedef!$C$17:$C$21,Kanit!T24+1)</f>
        <v>0.3</v>
      </c>
      <c r="U24" s="8">
        <f>INDEX(Hedef!$C$17:$C$21,Kanit!U24+1)</f>
        <v>0.5</v>
      </c>
      <c r="V24" s="8">
        <f>INDEX(Hedef!$C$17:$C$21,Kanit!V24+1)</f>
        <v>0.3</v>
      </c>
      <c r="W24" s="8">
        <f>INDEX(Hedef!$C$17:$C$21,Kanit!W24+1)</f>
        <v>0.3</v>
      </c>
      <c r="X24" s="8">
        <f>INDEX(Hedef!$C$17:$C$21,Kanit!X24+1)</f>
        <v>0.5</v>
      </c>
      <c r="Y24" s="8">
        <f>INDEX(Hedef!$C$17:$C$21,Kanit!Y24+1)</f>
        <v>0.5</v>
      </c>
      <c r="Z24" s="8">
        <f>INDEX(Hedef!$C$17:$C$21,Kanit!Z24+1)</f>
        <v>0.3</v>
      </c>
      <c r="AA24" s="8">
        <f>INDEX(Hedef!$C$17:$C$21,Kanit!AA24+1)</f>
        <v>0.3</v>
      </c>
      <c r="AB24" s="8">
        <f>INDEX(Hedef!$C$17:$C$21,Kanit!AB24+1)</f>
        <v>0.3</v>
      </c>
      <c r="AD24" s="8">
        <f>INDEX(Hedef!$C$17:$C$21,Kanit!AD24+1)</f>
        <v>0.5</v>
      </c>
      <c r="AE24" s="8">
        <f>INDEX(Hedef!$C$17:$C$21,Kanit!AE24+1)</f>
        <v>0.5</v>
      </c>
      <c r="AF24" s="8">
        <f>INDEX(Hedef!$C$17:$C$21,Kanit!AF24+1)</f>
        <v>0.3</v>
      </c>
      <c r="AG24" s="8">
        <f>INDEX(Hedef!$C$17:$C$21,Kanit!AG24+1)</f>
        <v>0.3</v>
      </c>
    </row>
    <row r="25">
      <c r="A25" s="7" t="str">
        <f>Secenekler!A25</f>
        <v>titanlar-c</v>
      </c>
      <c r="B25" s="7" t="str">
        <f>Secenekler!C25</f>
        <v>Kurumsal atölye: oda, belediye ve üretici KOBİ</v>
      </c>
      <c r="C25" s="8">
        <f>INDEX(Hedef!$C$17:$C$21,Kanit!C25+1)</f>
        <v>0.3</v>
      </c>
      <c r="D25" s="8">
        <f>INDEX(Hedef!$C$17:$C$21,Kanit!D25+1)</f>
        <v>0.3</v>
      </c>
      <c r="E25" s="8">
        <f>INDEX(Hedef!$C$17:$C$21,Kanit!E25+1)</f>
        <v>0.5</v>
      </c>
      <c r="F25" s="8">
        <f>INDEX(Hedef!$C$17:$C$21,Kanit!F25+1)</f>
        <v>0.3</v>
      </c>
      <c r="G25" s="8">
        <f>INDEX(Hedef!$C$17:$C$21,Kanit!G25+1)</f>
        <v>0.3</v>
      </c>
      <c r="H25" s="8">
        <f>INDEX(Hedef!$C$17:$C$21,Kanit!H25+1)</f>
        <v>0.3</v>
      </c>
      <c r="I25" s="8">
        <f>INDEX(Hedef!$C$17:$C$21,Kanit!I25+1)</f>
        <v>0.3</v>
      </c>
      <c r="J25" s="8">
        <f>INDEX(Hedef!$C$17:$C$21,Kanit!J25+1)</f>
        <v>0.3</v>
      </c>
      <c r="K25" s="8">
        <f>INDEX(Hedef!$C$17:$C$21,Kanit!K25+1)</f>
        <v>0.3</v>
      </c>
      <c r="L25" s="8">
        <f>INDEX(Hedef!$C$17:$C$21,Kanit!L25+1)</f>
        <v>0.3</v>
      </c>
      <c r="M25" s="8">
        <f>INDEX(Hedef!$C$17:$C$21,Kanit!M25+1)</f>
        <v>0.5</v>
      </c>
      <c r="N25" s="8">
        <f>INDEX(Hedef!$C$17:$C$21,Kanit!N25+1)</f>
        <v>0.3</v>
      </c>
      <c r="O25" s="8">
        <f>INDEX(Hedef!$C$17:$C$21,Kanit!O25+1)</f>
        <v>0.3</v>
      </c>
      <c r="P25" s="8">
        <f>INDEX(Hedef!$C$17:$C$21,Kanit!P25+1)</f>
        <v>0.3</v>
      </c>
      <c r="Q25" s="8">
        <f>INDEX(Hedef!$C$17:$C$21,Kanit!Q25+1)</f>
        <v>0.3</v>
      </c>
      <c r="R25" s="8">
        <f>INDEX(Hedef!$C$17:$C$21,Kanit!R25+1)</f>
        <v>0.3</v>
      </c>
      <c r="S25" s="8">
        <f>INDEX(Hedef!$C$17:$C$21,Kanit!S25+1)</f>
        <v>0.3</v>
      </c>
      <c r="T25" s="8">
        <f>INDEX(Hedef!$C$17:$C$21,Kanit!T25+1)</f>
        <v>0.3</v>
      </c>
      <c r="U25" s="8">
        <f>INDEX(Hedef!$C$17:$C$21,Kanit!U25+1)</f>
        <v>0.5</v>
      </c>
      <c r="V25" s="8">
        <f>INDEX(Hedef!$C$17:$C$21,Kanit!V25+1)</f>
        <v>0.3</v>
      </c>
      <c r="W25" s="8">
        <f>INDEX(Hedef!$C$17:$C$21,Kanit!W25+1)</f>
        <v>0.3</v>
      </c>
      <c r="X25" s="8">
        <f>INDEX(Hedef!$C$17:$C$21,Kanit!X25+1)</f>
        <v>0.3</v>
      </c>
      <c r="Y25" s="8">
        <f>INDEX(Hedef!$C$17:$C$21,Kanit!Y25+1)</f>
        <v>0.5</v>
      </c>
      <c r="Z25" s="8">
        <f>INDEX(Hedef!$C$17:$C$21,Kanit!Z25+1)</f>
        <v>0.3</v>
      </c>
      <c r="AA25" s="8">
        <f>INDEX(Hedef!$C$17:$C$21,Kanit!AA25+1)</f>
        <v>0.3</v>
      </c>
      <c r="AB25" s="8">
        <f>INDEX(Hedef!$C$17:$C$21,Kanit!AB25+1)</f>
        <v>0.3</v>
      </c>
      <c r="AD25" s="8">
        <f>INDEX(Hedef!$C$17:$C$21,Kanit!AD25+1)</f>
        <v>0.3</v>
      </c>
      <c r="AE25" s="8">
        <f>INDEX(Hedef!$C$17:$C$21,Kanit!AE25+1)</f>
        <v>0.5</v>
      </c>
      <c r="AF25" s="8">
        <f>INDEX(Hedef!$C$17:$C$21,Kanit!AF25+1)</f>
        <v>0.3</v>
      </c>
      <c r="AG25" s="8">
        <f>INDEX(Hedef!$C$17:$C$21,Kanit!AG25+1)</f>
        <v>0.3</v>
      </c>
    </row>
    <row r="26">
      <c r="A26" s="7" t="str">
        <f>Secenekler!A26</f>
        <v>kurumsal-site-a</v>
      </c>
      <c r="B26" s="7" t="str">
        <f>Secenekler!C26</f>
        <v>İhracat paketi: sabit kapsamlı 3 dilli üretici sitesi</v>
      </c>
      <c r="C26" s="8">
        <f>INDEX(Hedef!$C$17:$C$21,Kanit!C26+1)</f>
        <v>0.5</v>
      </c>
      <c r="D26" s="8">
        <f>INDEX(Hedef!$C$17:$C$21,Kanit!D26+1)</f>
        <v>0.3</v>
      </c>
      <c r="E26" s="8">
        <f>INDEX(Hedef!$C$17:$C$21,Kanit!E26+1)</f>
        <v>0.5</v>
      </c>
      <c r="F26" s="8">
        <f>INDEX(Hedef!$C$17:$C$21,Kanit!F26+1)</f>
        <v>0.5</v>
      </c>
      <c r="G26" s="8">
        <f>INDEX(Hedef!$C$17:$C$21,Kanit!G26+1)</f>
        <v>0.3</v>
      </c>
      <c r="H26" s="8">
        <f>INDEX(Hedef!$C$17:$C$21,Kanit!H26+1)</f>
        <v>0.5</v>
      </c>
      <c r="I26" s="8">
        <f>INDEX(Hedef!$C$17:$C$21,Kanit!I26+1)</f>
        <v>0.5</v>
      </c>
      <c r="J26" s="8">
        <f>INDEX(Hedef!$C$17:$C$21,Kanit!J26+1)</f>
        <v>0.3</v>
      </c>
      <c r="K26" s="8">
        <f>INDEX(Hedef!$C$17:$C$21,Kanit!K26+1)</f>
        <v>0.3</v>
      </c>
      <c r="L26" s="8">
        <f>INDEX(Hedef!$C$17:$C$21,Kanit!L26+1)</f>
        <v>0.3</v>
      </c>
      <c r="M26" s="8">
        <f>INDEX(Hedef!$C$17:$C$21,Kanit!M26+1)</f>
        <v>0.5</v>
      </c>
      <c r="N26" s="8">
        <f>INDEX(Hedef!$C$17:$C$21,Kanit!N26+1)</f>
        <v>0.3</v>
      </c>
      <c r="O26" s="8">
        <f>INDEX(Hedef!$C$17:$C$21,Kanit!O26+1)</f>
        <v>0.3</v>
      </c>
      <c r="P26" s="8">
        <f>INDEX(Hedef!$C$17:$C$21,Kanit!P26+1)</f>
        <v>0.5</v>
      </c>
      <c r="Q26" s="8">
        <f>INDEX(Hedef!$C$17:$C$21,Kanit!Q26+1)</f>
        <v>0.3</v>
      </c>
      <c r="R26" s="8">
        <f>INDEX(Hedef!$C$17:$C$21,Kanit!R26+1)</f>
        <v>0.3</v>
      </c>
      <c r="S26" s="8">
        <f>INDEX(Hedef!$C$17:$C$21,Kanit!S26+1)</f>
        <v>0.3</v>
      </c>
      <c r="T26" s="8">
        <f>INDEX(Hedef!$C$17:$C$21,Kanit!T26+1)</f>
        <v>0.5</v>
      </c>
      <c r="U26" s="8">
        <f>INDEX(Hedef!$C$17:$C$21,Kanit!U26+1)</f>
        <v>0.5</v>
      </c>
      <c r="V26" s="8">
        <f>INDEX(Hedef!$C$17:$C$21,Kanit!V26+1)</f>
        <v>0.3</v>
      </c>
      <c r="W26" s="8">
        <f>INDEX(Hedef!$C$17:$C$21,Kanit!W26+1)</f>
        <v>0.3</v>
      </c>
      <c r="X26" s="8">
        <f>INDEX(Hedef!$C$17:$C$21,Kanit!X26+1)</f>
        <v>0.7</v>
      </c>
      <c r="Y26" s="8">
        <f>INDEX(Hedef!$C$17:$C$21,Kanit!Y26+1)</f>
        <v>0.5</v>
      </c>
      <c r="Z26" s="8">
        <f>INDEX(Hedef!$C$17:$C$21,Kanit!Z26+1)</f>
        <v>0.5</v>
      </c>
      <c r="AA26" s="8">
        <f>INDEX(Hedef!$C$17:$C$21,Kanit!AA26+1)</f>
        <v>0.3</v>
      </c>
      <c r="AB26" s="8">
        <f>INDEX(Hedef!$C$17:$C$21,Kanit!AB26+1)</f>
        <v>0.3</v>
      </c>
      <c r="AD26" s="8">
        <f>INDEX(Hedef!$C$17:$C$21,Kanit!AD26+1)</f>
        <v>0.5</v>
      </c>
      <c r="AE26" s="8">
        <f>INDEX(Hedef!$C$17:$C$21,Kanit!AE26+1)</f>
        <v>0.3</v>
      </c>
      <c r="AF26" s="8">
        <f>INDEX(Hedef!$C$17:$C$21,Kanit!AF26+1)</f>
        <v>0.5</v>
      </c>
      <c r="AG26" s="8">
        <f>INDEX(Hedef!$C$17:$C$21,Kanit!AG26+1)</f>
        <v>0.5</v>
      </c>
    </row>
    <row r="27">
      <c r="A27" s="7" t="str">
        <f>Secenekler!A27</f>
        <v>kurumsal-site-b</v>
      </c>
      <c r="B27" s="7" t="str">
        <f>Secenekler!C27</f>
        <v>Vitrin paketi: 2 dilli giriş sitesi (45.000 ₺)</v>
      </c>
      <c r="C27" s="8">
        <f>INDEX(Hedef!$C$17:$C$21,Kanit!C27+1)</f>
        <v>0.5</v>
      </c>
      <c r="D27" s="8">
        <f>INDEX(Hedef!$C$17:$C$21,Kanit!D27+1)</f>
        <v>0.3</v>
      </c>
      <c r="E27" s="8">
        <f>INDEX(Hedef!$C$17:$C$21,Kanit!E27+1)</f>
        <v>0.5</v>
      </c>
      <c r="F27" s="8">
        <f>INDEX(Hedef!$C$17:$C$21,Kanit!F27+1)</f>
        <v>0.5</v>
      </c>
      <c r="G27" s="8">
        <f>INDEX(Hedef!$C$17:$C$21,Kanit!G27+1)</f>
        <v>0.3</v>
      </c>
      <c r="H27" s="8">
        <f>INDEX(Hedef!$C$17:$C$21,Kanit!H27+1)</f>
        <v>0.5</v>
      </c>
      <c r="I27" s="8">
        <f>INDEX(Hedef!$C$17:$C$21,Kanit!I27+1)</f>
        <v>0.3</v>
      </c>
      <c r="J27" s="8">
        <f>INDEX(Hedef!$C$17:$C$21,Kanit!J27+1)</f>
        <v>0.3</v>
      </c>
      <c r="K27" s="8">
        <f>INDEX(Hedef!$C$17:$C$21,Kanit!K27+1)</f>
        <v>0.3</v>
      </c>
      <c r="L27" s="8">
        <f>INDEX(Hedef!$C$17:$C$21,Kanit!L27+1)</f>
        <v>0.3</v>
      </c>
      <c r="M27" s="8">
        <f>INDEX(Hedef!$C$17:$C$21,Kanit!M27+1)</f>
        <v>0.5</v>
      </c>
      <c r="N27" s="8">
        <f>INDEX(Hedef!$C$17:$C$21,Kanit!N27+1)</f>
        <v>0.3</v>
      </c>
      <c r="O27" s="8">
        <f>INDEX(Hedef!$C$17:$C$21,Kanit!O27+1)</f>
        <v>0.3</v>
      </c>
      <c r="P27" s="8">
        <f>INDEX(Hedef!$C$17:$C$21,Kanit!P27+1)</f>
        <v>0.5</v>
      </c>
      <c r="Q27" s="8">
        <f>INDEX(Hedef!$C$17:$C$21,Kanit!Q27+1)</f>
        <v>0.3</v>
      </c>
      <c r="R27" s="8">
        <f>INDEX(Hedef!$C$17:$C$21,Kanit!R27+1)</f>
        <v>0.3</v>
      </c>
      <c r="S27" s="8">
        <f>INDEX(Hedef!$C$17:$C$21,Kanit!S27+1)</f>
        <v>0.3</v>
      </c>
      <c r="T27" s="8">
        <f>INDEX(Hedef!$C$17:$C$21,Kanit!T27+1)</f>
        <v>0.5</v>
      </c>
      <c r="U27" s="8">
        <f>INDEX(Hedef!$C$17:$C$21,Kanit!U27+1)</f>
        <v>0.5</v>
      </c>
      <c r="V27" s="8">
        <f>INDEX(Hedef!$C$17:$C$21,Kanit!V27+1)</f>
        <v>0.3</v>
      </c>
      <c r="W27" s="8">
        <f>INDEX(Hedef!$C$17:$C$21,Kanit!W27+1)</f>
        <v>0.3</v>
      </c>
      <c r="X27" s="8">
        <f>INDEX(Hedef!$C$17:$C$21,Kanit!X27+1)</f>
        <v>0.7</v>
      </c>
      <c r="Y27" s="8">
        <f>INDEX(Hedef!$C$17:$C$21,Kanit!Y27+1)</f>
        <v>0.5</v>
      </c>
      <c r="Z27" s="8">
        <f>INDEX(Hedef!$C$17:$C$21,Kanit!Z27+1)</f>
        <v>0.5</v>
      </c>
      <c r="AA27" s="8">
        <f>INDEX(Hedef!$C$17:$C$21,Kanit!AA27+1)</f>
        <v>0.3</v>
      </c>
      <c r="AB27" s="8">
        <f>INDEX(Hedef!$C$17:$C$21,Kanit!AB27+1)</f>
        <v>0.3</v>
      </c>
      <c r="AD27" s="8">
        <f>INDEX(Hedef!$C$17:$C$21,Kanit!AD27+1)</f>
        <v>0.5</v>
      </c>
      <c r="AE27" s="8">
        <f>INDEX(Hedef!$C$17:$C$21,Kanit!AE27+1)</f>
        <v>0.5</v>
      </c>
      <c r="AF27" s="8">
        <f>INDEX(Hedef!$C$17:$C$21,Kanit!AF27+1)</f>
        <v>0.5</v>
      </c>
      <c r="AG27" s="8">
        <f>INDEX(Hedef!$C$17:$C$21,Kanit!AG27+1)</f>
        <v>0.5</v>
      </c>
    </row>
    <row r="28">
      <c r="A28" s="7" t="str">
        <f>Secenekler!A28</f>
        <v>kurumsal-site-c</v>
      </c>
      <c r="B28" s="7" t="str">
        <f>Secenekler!C28</f>
        <v>Markasız Astro sanayi teması (kod satışı)</v>
      </c>
      <c r="C28" s="8">
        <f>INDEX(Hedef!$C$17:$C$21,Kanit!C28+1)</f>
        <v>0.3</v>
      </c>
      <c r="D28" s="8">
        <f>INDEX(Hedef!$C$17:$C$21,Kanit!D28+1)</f>
        <v>0.3</v>
      </c>
      <c r="E28" s="8">
        <f>INDEX(Hedef!$C$17:$C$21,Kanit!E28+1)</f>
        <v>0.3</v>
      </c>
      <c r="F28" s="8">
        <f>INDEX(Hedef!$C$17:$C$21,Kanit!F28+1)</f>
        <v>0.5</v>
      </c>
      <c r="G28" s="8">
        <f>INDEX(Hedef!$C$17:$C$21,Kanit!G28+1)</f>
        <v>0.3</v>
      </c>
      <c r="H28" s="8">
        <f>INDEX(Hedef!$C$17:$C$21,Kanit!H28+1)</f>
        <v>0.3</v>
      </c>
      <c r="I28" s="8">
        <f>INDEX(Hedef!$C$17:$C$21,Kanit!I28+1)</f>
        <v>0.3</v>
      </c>
      <c r="J28" s="8">
        <f>INDEX(Hedef!$C$17:$C$21,Kanit!J28+1)</f>
        <v>0.3</v>
      </c>
      <c r="K28" s="8">
        <f>INDEX(Hedef!$C$17:$C$21,Kanit!K28+1)</f>
        <v>0.3</v>
      </c>
      <c r="L28" s="8">
        <f>INDEX(Hedef!$C$17:$C$21,Kanit!L28+1)</f>
        <v>0.3</v>
      </c>
      <c r="M28" s="8">
        <f>INDEX(Hedef!$C$17:$C$21,Kanit!M28+1)</f>
        <v>0.3</v>
      </c>
      <c r="N28" s="8">
        <f>INDEX(Hedef!$C$17:$C$21,Kanit!N28+1)</f>
        <v>0.3</v>
      </c>
      <c r="O28" s="8">
        <f>INDEX(Hedef!$C$17:$C$21,Kanit!O28+1)</f>
        <v>0.3</v>
      </c>
      <c r="P28" s="8">
        <f>INDEX(Hedef!$C$17:$C$21,Kanit!P28+1)</f>
        <v>0.5</v>
      </c>
      <c r="Q28" s="8">
        <f>INDEX(Hedef!$C$17:$C$21,Kanit!Q28+1)</f>
        <v>0.3</v>
      </c>
      <c r="R28" s="8">
        <f>INDEX(Hedef!$C$17:$C$21,Kanit!R28+1)</f>
        <v>0.3</v>
      </c>
      <c r="S28" s="8">
        <f>INDEX(Hedef!$C$17:$C$21,Kanit!S28+1)</f>
        <v>0.3</v>
      </c>
      <c r="T28" s="8">
        <f>INDEX(Hedef!$C$17:$C$21,Kanit!T28+1)</f>
        <v>0.3</v>
      </c>
      <c r="U28" s="8">
        <f>INDEX(Hedef!$C$17:$C$21,Kanit!U28+1)</f>
        <v>0.5</v>
      </c>
      <c r="V28" s="8">
        <f>INDEX(Hedef!$C$17:$C$21,Kanit!V28+1)</f>
        <v>0.3</v>
      </c>
      <c r="W28" s="8">
        <f>INDEX(Hedef!$C$17:$C$21,Kanit!W28+1)</f>
        <v>0.3</v>
      </c>
      <c r="X28" s="8">
        <f>INDEX(Hedef!$C$17:$C$21,Kanit!X28+1)</f>
        <v>0.5</v>
      </c>
      <c r="Y28" s="8">
        <f>INDEX(Hedef!$C$17:$C$21,Kanit!Y28+1)</f>
        <v>0.3</v>
      </c>
      <c r="Z28" s="8">
        <f>INDEX(Hedef!$C$17:$C$21,Kanit!Z28+1)</f>
        <v>0.3</v>
      </c>
      <c r="AA28" s="8">
        <f>INDEX(Hedef!$C$17:$C$21,Kanit!AA28+1)</f>
        <v>0.3</v>
      </c>
      <c r="AB28" s="8">
        <f>INDEX(Hedef!$C$17:$C$21,Kanit!AB28+1)</f>
        <v>0.3</v>
      </c>
      <c r="AD28" s="8">
        <f>INDEX(Hedef!$C$17:$C$21,Kanit!AD28+1)</f>
        <v>0.3</v>
      </c>
      <c r="AE28" s="8">
        <f>INDEX(Hedef!$C$17:$C$21,Kanit!AE28+1)</f>
        <v>0.3</v>
      </c>
      <c r="AF28" s="8">
        <f>INDEX(Hedef!$C$17:$C$21,Kanit!AF28+1)</f>
        <v>0.3</v>
      </c>
      <c r="AG28" s="8">
        <f>INDEX(Hedef!$C$17:$C$21,Kanit!AG28+1)</f>
        <v>0.3</v>
      </c>
    </row>
    <row r="29">
      <c r="A29" s="7" t="str">
        <f>Secenekler!A29</f>
        <v>uretici-kobi-paketi-a</v>
      </c>
      <c r="B29" s="7" t="str">
        <f>Secenekler!C29</f>
        <v>Başlangıç paketi: fizibilite, vitrin site, açılış planı</v>
      </c>
      <c r="C29" s="8">
        <f>INDEX(Hedef!$C$17:$C$21,Kanit!C29+1)</f>
        <v>0.5</v>
      </c>
      <c r="D29" s="8">
        <f>INDEX(Hedef!$C$17:$C$21,Kanit!D29+1)</f>
        <v>0.5</v>
      </c>
      <c r="E29" s="8">
        <f>INDEX(Hedef!$C$17:$C$21,Kanit!E29+1)</f>
        <v>0.3</v>
      </c>
      <c r="F29" s="8">
        <f>INDEX(Hedef!$C$17:$C$21,Kanit!F29+1)</f>
        <v>0.5</v>
      </c>
      <c r="G29" s="8">
        <f>INDEX(Hedef!$C$17:$C$21,Kanit!G29+1)</f>
        <v>0.3</v>
      </c>
      <c r="H29" s="8">
        <f>INDEX(Hedef!$C$17:$C$21,Kanit!H29+1)</f>
        <v>0.5</v>
      </c>
      <c r="I29" s="8">
        <f>INDEX(Hedef!$C$17:$C$21,Kanit!I29+1)</f>
        <v>0.5</v>
      </c>
      <c r="J29" s="8">
        <f>INDEX(Hedef!$C$17:$C$21,Kanit!J29+1)</f>
        <v>0.3</v>
      </c>
      <c r="K29" s="8">
        <f>INDEX(Hedef!$C$17:$C$21,Kanit!K29+1)</f>
        <v>0.3</v>
      </c>
      <c r="L29" s="8">
        <f>INDEX(Hedef!$C$17:$C$21,Kanit!L29+1)</f>
        <v>0.3</v>
      </c>
      <c r="M29" s="8">
        <f>INDEX(Hedef!$C$17:$C$21,Kanit!M29+1)</f>
        <v>0.5</v>
      </c>
      <c r="N29" s="8">
        <f>INDEX(Hedef!$C$17:$C$21,Kanit!N29+1)</f>
        <v>0.3</v>
      </c>
      <c r="O29" s="8">
        <f>INDEX(Hedef!$C$17:$C$21,Kanit!O29+1)</f>
        <v>0.3</v>
      </c>
      <c r="P29" s="8">
        <f>INDEX(Hedef!$C$17:$C$21,Kanit!P29+1)</f>
        <v>0.5</v>
      </c>
      <c r="Q29" s="8">
        <f>INDEX(Hedef!$C$17:$C$21,Kanit!Q29+1)</f>
        <v>0.3</v>
      </c>
      <c r="R29" s="8">
        <f>INDEX(Hedef!$C$17:$C$21,Kanit!R29+1)</f>
        <v>0.3</v>
      </c>
      <c r="S29" s="8">
        <f>INDEX(Hedef!$C$17:$C$21,Kanit!S29+1)</f>
        <v>0.3</v>
      </c>
      <c r="T29" s="8">
        <f>INDEX(Hedef!$C$17:$C$21,Kanit!T29+1)</f>
        <v>0.5</v>
      </c>
      <c r="U29" s="8">
        <f>INDEX(Hedef!$C$17:$C$21,Kanit!U29+1)</f>
        <v>0.3</v>
      </c>
      <c r="V29" s="8">
        <f>INDEX(Hedef!$C$17:$C$21,Kanit!V29+1)</f>
        <v>0.3</v>
      </c>
      <c r="W29" s="8">
        <f>INDEX(Hedef!$C$17:$C$21,Kanit!W29+1)</f>
        <v>0.3</v>
      </c>
      <c r="X29" s="8">
        <f>INDEX(Hedef!$C$17:$C$21,Kanit!X29+1)</f>
        <v>0.7</v>
      </c>
      <c r="Y29" s="8">
        <f>INDEX(Hedef!$C$17:$C$21,Kanit!Y29+1)</f>
        <v>0.3</v>
      </c>
      <c r="Z29" s="8">
        <f>INDEX(Hedef!$C$17:$C$21,Kanit!Z29+1)</f>
        <v>0.5</v>
      </c>
      <c r="AA29" s="8">
        <f>INDEX(Hedef!$C$17:$C$21,Kanit!AA29+1)</f>
        <v>0.3</v>
      </c>
      <c r="AB29" s="8">
        <f>INDEX(Hedef!$C$17:$C$21,Kanit!AB29+1)</f>
        <v>0.3</v>
      </c>
      <c r="AD29" s="8">
        <f>INDEX(Hedef!$C$17:$C$21,Kanit!AD29+1)</f>
        <v>0.5</v>
      </c>
      <c r="AE29" s="8">
        <f>INDEX(Hedef!$C$17:$C$21,Kanit!AE29+1)</f>
        <v>0.3</v>
      </c>
      <c r="AF29" s="8">
        <f>INDEX(Hedef!$C$17:$C$21,Kanit!AF29+1)</f>
        <v>0.3</v>
      </c>
      <c r="AG29" s="8">
        <f>INDEX(Hedef!$C$17:$C$21,Kanit!AG29+1)</f>
        <v>0.5</v>
      </c>
    </row>
    <row r="30">
      <c r="A30" s="7" t="str">
        <f>Secenekler!A30</f>
        <v>uretici-kobi-paketi-b</v>
      </c>
      <c r="B30" s="7" t="str">
        <f>Secenekler!C30</f>
        <v>Fizibilite paketi: rakip analizi, kârlılık modeli, simülatör</v>
      </c>
      <c r="C30" s="8">
        <f>INDEX(Hedef!$C$17:$C$21,Kanit!C30+1)</f>
        <v>0.5</v>
      </c>
      <c r="D30" s="8">
        <f>INDEX(Hedef!$C$17:$C$21,Kanit!D30+1)</f>
        <v>0.5</v>
      </c>
      <c r="E30" s="8">
        <f>INDEX(Hedef!$C$17:$C$21,Kanit!E30+1)</f>
        <v>0.3</v>
      </c>
      <c r="F30" s="8">
        <f>INDEX(Hedef!$C$17:$C$21,Kanit!F30+1)</f>
        <v>0.5</v>
      </c>
      <c r="G30" s="8">
        <f>INDEX(Hedef!$C$17:$C$21,Kanit!G30+1)</f>
        <v>0.3</v>
      </c>
      <c r="H30" s="8">
        <f>INDEX(Hedef!$C$17:$C$21,Kanit!H30+1)</f>
        <v>0.5</v>
      </c>
      <c r="I30" s="8">
        <f>INDEX(Hedef!$C$17:$C$21,Kanit!I30+1)</f>
        <v>0.5</v>
      </c>
      <c r="J30" s="8">
        <f>INDEX(Hedef!$C$17:$C$21,Kanit!J30+1)</f>
        <v>0.3</v>
      </c>
      <c r="K30" s="8">
        <f>INDEX(Hedef!$C$17:$C$21,Kanit!K30+1)</f>
        <v>0.3</v>
      </c>
      <c r="L30" s="8">
        <f>INDEX(Hedef!$C$17:$C$21,Kanit!L30+1)</f>
        <v>0.3</v>
      </c>
      <c r="M30" s="8">
        <f>INDEX(Hedef!$C$17:$C$21,Kanit!M30+1)</f>
        <v>0.5</v>
      </c>
      <c r="N30" s="8">
        <f>INDEX(Hedef!$C$17:$C$21,Kanit!N30+1)</f>
        <v>0.3</v>
      </c>
      <c r="O30" s="8">
        <f>INDEX(Hedef!$C$17:$C$21,Kanit!O30+1)</f>
        <v>0.3</v>
      </c>
      <c r="P30" s="8">
        <f>INDEX(Hedef!$C$17:$C$21,Kanit!P30+1)</f>
        <v>0.5</v>
      </c>
      <c r="Q30" s="8">
        <f>INDEX(Hedef!$C$17:$C$21,Kanit!Q30+1)</f>
        <v>0.3</v>
      </c>
      <c r="R30" s="8">
        <f>INDEX(Hedef!$C$17:$C$21,Kanit!R30+1)</f>
        <v>0.3</v>
      </c>
      <c r="S30" s="8">
        <f>INDEX(Hedef!$C$17:$C$21,Kanit!S30+1)</f>
        <v>0.3</v>
      </c>
      <c r="T30" s="8">
        <f>INDEX(Hedef!$C$17:$C$21,Kanit!T30+1)</f>
        <v>0.5</v>
      </c>
      <c r="U30" s="8">
        <f>INDEX(Hedef!$C$17:$C$21,Kanit!U30+1)</f>
        <v>0.3</v>
      </c>
      <c r="V30" s="8">
        <f>INDEX(Hedef!$C$17:$C$21,Kanit!V30+1)</f>
        <v>0.3</v>
      </c>
      <c r="W30" s="8">
        <f>INDEX(Hedef!$C$17:$C$21,Kanit!W30+1)</f>
        <v>0.3</v>
      </c>
      <c r="X30" s="8">
        <f>INDEX(Hedef!$C$17:$C$21,Kanit!X30+1)</f>
        <v>0.7</v>
      </c>
      <c r="Y30" s="8">
        <f>INDEX(Hedef!$C$17:$C$21,Kanit!Y30+1)</f>
        <v>0.5</v>
      </c>
      <c r="Z30" s="8">
        <f>INDEX(Hedef!$C$17:$C$21,Kanit!Z30+1)</f>
        <v>0.5</v>
      </c>
      <c r="AA30" s="8">
        <f>INDEX(Hedef!$C$17:$C$21,Kanit!AA30+1)</f>
        <v>0.3</v>
      </c>
      <c r="AB30" s="8">
        <f>INDEX(Hedef!$C$17:$C$21,Kanit!AB30+1)</f>
        <v>0.3</v>
      </c>
      <c r="AD30" s="8">
        <f>INDEX(Hedef!$C$17:$C$21,Kanit!AD30+1)</f>
        <v>0.5</v>
      </c>
      <c r="AE30" s="8">
        <f>INDEX(Hedef!$C$17:$C$21,Kanit!AE30+1)</f>
        <v>0.3</v>
      </c>
      <c r="AF30" s="8">
        <f>INDEX(Hedef!$C$17:$C$21,Kanit!AF30+1)</f>
        <v>0.3</v>
      </c>
      <c r="AG30" s="8">
        <f>INDEX(Hedef!$C$17:$C$21,Kanit!AG30+1)</f>
        <v>0.5</v>
      </c>
    </row>
    <row r="31">
      <c r="A31" s="7" t="str">
        <f>Secenekler!A31</f>
        <v>uretici-kobi-paketi-c</v>
      </c>
      <c r="B31" s="7" t="str">
        <f>Secenekler!C31</f>
        <v>Katalog ve teklif formu sitesi (kumaş üreticisi)</v>
      </c>
      <c r="C31" s="8">
        <f>INDEX(Hedef!$C$17:$C$21,Kanit!C31+1)</f>
        <v>0.5</v>
      </c>
      <c r="D31" s="8">
        <f>INDEX(Hedef!$C$17:$C$21,Kanit!D31+1)</f>
        <v>0.3</v>
      </c>
      <c r="E31" s="8">
        <f>INDEX(Hedef!$C$17:$C$21,Kanit!E31+1)</f>
        <v>0.3</v>
      </c>
      <c r="F31" s="8">
        <f>INDEX(Hedef!$C$17:$C$21,Kanit!F31+1)</f>
        <v>0.5</v>
      </c>
      <c r="G31" s="8">
        <f>INDEX(Hedef!$C$17:$C$21,Kanit!G31+1)</f>
        <v>0.3</v>
      </c>
      <c r="H31" s="8">
        <f>INDEX(Hedef!$C$17:$C$21,Kanit!H31+1)</f>
        <v>0.5</v>
      </c>
      <c r="I31" s="8">
        <f>INDEX(Hedef!$C$17:$C$21,Kanit!I31+1)</f>
        <v>0.5</v>
      </c>
      <c r="J31" s="8">
        <f>INDEX(Hedef!$C$17:$C$21,Kanit!J31+1)</f>
        <v>0.3</v>
      </c>
      <c r="K31" s="8">
        <f>INDEX(Hedef!$C$17:$C$21,Kanit!K31+1)</f>
        <v>0.3</v>
      </c>
      <c r="L31" s="8">
        <f>INDEX(Hedef!$C$17:$C$21,Kanit!L31+1)</f>
        <v>0.3</v>
      </c>
      <c r="M31" s="8">
        <f>INDEX(Hedef!$C$17:$C$21,Kanit!M31+1)</f>
        <v>0.5</v>
      </c>
      <c r="N31" s="8">
        <f>INDEX(Hedef!$C$17:$C$21,Kanit!N31+1)</f>
        <v>0.3</v>
      </c>
      <c r="O31" s="8">
        <f>INDEX(Hedef!$C$17:$C$21,Kanit!O31+1)</f>
        <v>0.3</v>
      </c>
      <c r="P31" s="8">
        <f>INDEX(Hedef!$C$17:$C$21,Kanit!P31+1)</f>
        <v>0.5</v>
      </c>
      <c r="Q31" s="8">
        <f>INDEX(Hedef!$C$17:$C$21,Kanit!Q31+1)</f>
        <v>0.3</v>
      </c>
      <c r="R31" s="8">
        <f>INDEX(Hedef!$C$17:$C$21,Kanit!R31+1)</f>
        <v>0.3</v>
      </c>
      <c r="S31" s="8">
        <f>INDEX(Hedef!$C$17:$C$21,Kanit!S31+1)</f>
        <v>0.3</v>
      </c>
      <c r="T31" s="8">
        <f>INDEX(Hedef!$C$17:$C$21,Kanit!T31+1)</f>
        <v>0.3</v>
      </c>
      <c r="U31" s="8">
        <f>INDEX(Hedef!$C$17:$C$21,Kanit!U31+1)</f>
        <v>0.3</v>
      </c>
      <c r="V31" s="8">
        <f>INDEX(Hedef!$C$17:$C$21,Kanit!V31+1)</f>
        <v>0.3</v>
      </c>
      <c r="W31" s="8">
        <f>INDEX(Hedef!$C$17:$C$21,Kanit!W31+1)</f>
        <v>0.3</v>
      </c>
      <c r="X31" s="8">
        <f>INDEX(Hedef!$C$17:$C$21,Kanit!X31+1)</f>
        <v>0.7</v>
      </c>
      <c r="Y31" s="8">
        <f>INDEX(Hedef!$C$17:$C$21,Kanit!Y31+1)</f>
        <v>0.3</v>
      </c>
      <c r="Z31" s="8">
        <f>INDEX(Hedef!$C$17:$C$21,Kanit!Z31+1)</f>
        <v>0.3</v>
      </c>
      <c r="AA31" s="8">
        <f>INDEX(Hedef!$C$17:$C$21,Kanit!AA31+1)</f>
        <v>0.3</v>
      </c>
      <c r="AB31" s="8">
        <f>INDEX(Hedef!$C$17:$C$21,Kanit!AB31+1)</f>
        <v>0.3</v>
      </c>
      <c r="AD31" s="8">
        <f>INDEX(Hedef!$C$17:$C$21,Kanit!AD31+1)</f>
        <v>0.5</v>
      </c>
      <c r="AE31" s="8">
        <f>INDEX(Hedef!$C$17:$C$21,Kanit!AE31+1)</f>
        <v>0.3</v>
      </c>
      <c r="AF31" s="8">
        <f>INDEX(Hedef!$C$17:$C$21,Kanit!AF31+1)</f>
        <v>0.3</v>
      </c>
      <c r="AG31" s="8">
        <f>INDEX(Hedef!$C$17:$C$21,Kanit!AG31+1)</f>
        <v>0.5</v>
      </c>
    </row>
    <row r="32">
      <c r="A32" s="7" t="str">
        <f>Secenekler!A32</f>
        <v>wp-nis-eklentiler-a</v>
      </c>
      <c r="B32" s="7" t="str">
        <f>Secenekler!C32</f>
        <v>KVKK Lite Pro: ajans lisansı</v>
      </c>
      <c r="C32" s="8">
        <f>INDEX(Hedef!$C$17:$C$21,Kanit!C32+1)</f>
        <v>0.5</v>
      </c>
      <c r="D32" s="8">
        <f>INDEX(Hedef!$C$17:$C$21,Kanit!D32+1)</f>
        <v>0.5</v>
      </c>
      <c r="E32" s="8">
        <f>INDEX(Hedef!$C$17:$C$21,Kanit!E32+1)</f>
        <v>0.5</v>
      </c>
      <c r="F32" s="8">
        <f>INDEX(Hedef!$C$17:$C$21,Kanit!F32+1)</f>
        <v>0.5</v>
      </c>
      <c r="G32" s="8">
        <f>INDEX(Hedef!$C$17:$C$21,Kanit!G32+1)</f>
        <v>0.3</v>
      </c>
      <c r="H32" s="8">
        <f>INDEX(Hedef!$C$17:$C$21,Kanit!H32+1)</f>
        <v>0.5</v>
      </c>
      <c r="I32" s="8">
        <f>INDEX(Hedef!$C$17:$C$21,Kanit!I32+1)</f>
        <v>0.3</v>
      </c>
      <c r="J32" s="8">
        <f>INDEX(Hedef!$C$17:$C$21,Kanit!J32+1)</f>
        <v>0.5</v>
      </c>
      <c r="K32" s="8">
        <f>INDEX(Hedef!$C$17:$C$21,Kanit!K32+1)</f>
        <v>0.3</v>
      </c>
      <c r="L32" s="8">
        <f>INDEX(Hedef!$C$17:$C$21,Kanit!L32+1)</f>
        <v>0.3</v>
      </c>
      <c r="M32" s="8">
        <f>INDEX(Hedef!$C$17:$C$21,Kanit!M32+1)</f>
        <v>0.5</v>
      </c>
      <c r="N32" s="8">
        <f>INDEX(Hedef!$C$17:$C$21,Kanit!N32+1)</f>
        <v>0.3</v>
      </c>
      <c r="O32" s="8">
        <f>INDEX(Hedef!$C$17:$C$21,Kanit!O32+1)</f>
        <v>0.3</v>
      </c>
      <c r="P32" s="8">
        <f>INDEX(Hedef!$C$17:$C$21,Kanit!P32+1)</f>
        <v>0.3</v>
      </c>
      <c r="Q32" s="8">
        <f>INDEX(Hedef!$C$17:$C$21,Kanit!Q32+1)</f>
        <v>0.3</v>
      </c>
      <c r="R32" s="8">
        <f>INDEX(Hedef!$C$17:$C$21,Kanit!R32+1)</f>
        <v>0.3</v>
      </c>
      <c r="S32" s="8">
        <f>INDEX(Hedef!$C$17:$C$21,Kanit!S32+1)</f>
        <v>0.3</v>
      </c>
      <c r="T32" s="8">
        <f>INDEX(Hedef!$C$17:$C$21,Kanit!T32+1)</f>
        <v>0.3</v>
      </c>
      <c r="U32" s="8">
        <f>INDEX(Hedef!$C$17:$C$21,Kanit!U32+1)</f>
        <v>0.3</v>
      </c>
      <c r="V32" s="8">
        <f>INDEX(Hedef!$C$17:$C$21,Kanit!V32+1)</f>
        <v>0.5</v>
      </c>
      <c r="W32" s="8">
        <f>INDEX(Hedef!$C$17:$C$21,Kanit!W32+1)</f>
        <v>0.3</v>
      </c>
      <c r="X32" s="8">
        <f>INDEX(Hedef!$C$17:$C$21,Kanit!X32+1)</f>
        <v>0.5</v>
      </c>
      <c r="Y32" s="8">
        <f>INDEX(Hedef!$C$17:$C$21,Kanit!Y32+1)</f>
        <v>0.5</v>
      </c>
      <c r="Z32" s="8">
        <f>INDEX(Hedef!$C$17:$C$21,Kanit!Z32+1)</f>
        <v>0.3</v>
      </c>
      <c r="AA32" s="8">
        <f>INDEX(Hedef!$C$17:$C$21,Kanit!AA32+1)</f>
        <v>0.5</v>
      </c>
      <c r="AB32" s="8">
        <f>INDEX(Hedef!$C$17:$C$21,Kanit!AB32+1)</f>
        <v>0.3</v>
      </c>
      <c r="AD32" s="8">
        <f>INDEX(Hedef!$C$17:$C$21,Kanit!AD32+1)</f>
        <v>0.5</v>
      </c>
      <c r="AE32" s="8">
        <f>INDEX(Hedef!$C$17:$C$21,Kanit!AE32+1)</f>
        <v>0.5</v>
      </c>
      <c r="AF32" s="8">
        <f>INDEX(Hedef!$C$17:$C$21,Kanit!AF32+1)</f>
        <v>0.3</v>
      </c>
      <c r="AG32" s="8">
        <f>INDEX(Hedef!$C$17:$C$21,Kanit!AG32+1)</f>
        <v>0.3</v>
      </c>
    </row>
    <row r="33">
      <c r="A33" s="7" t="str">
        <f>Secenekler!A33</f>
        <v>wp-nis-eklentiler-b</v>
      </c>
      <c r="B33" s="7" t="str">
        <f>Secenekler!C33</f>
        <v>Taksit Tablosu ve Kapıda Ödeme Pro: tek mağaza</v>
      </c>
      <c r="C33" s="8">
        <f>INDEX(Hedef!$C$17:$C$21,Kanit!C33+1)</f>
        <v>0.3</v>
      </c>
      <c r="D33" s="8">
        <f>INDEX(Hedef!$C$17:$C$21,Kanit!D33+1)</f>
        <v>0.3</v>
      </c>
      <c r="E33" s="8">
        <f>INDEX(Hedef!$C$17:$C$21,Kanit!E33+1)</f>
        <v>0.5</v>
      </c>
      <c r="F33" s="8">
        <f>INDEX(Hedef!$C$17:$C$21,Kanit!F33+1)</f>
        <v>0.5</v>
      </c>
      <c r="G33" s="8">
        <f>INDEX(Hedef!$C$17:$C$21,Kanit!G33+1)</f>
        <v>0.3</v>
      </c>
      <c r="H33" s="8">
        <f>INDEX(Hedef!$C$17:$C$21,Kanit!H33+1)</f>
        <v>0.3</v>
      </c>
      <c r="I33" s="8">
        <f>INDEX(Hedef!$C$17:$C$21,Kanit!I33+1)</f>
        <v>0.3</v>
      </c>
      <c r="J33" s="8">
        <f>INDEX(Hedef!$C$17:$C$21,Kanit!J33+1)</f>
        <v>0.5</v>
      </c>
      <c r="K33" s="8">
        <f>INDEX(Hedef!$C$17:$C$21,Kanit!K33+1)</f>
        <v>0.3</v>
      </c>
      <c r="L33" s="8">
        <f>INDEX(Hedef!$C$17:$C$21,Kanit!L33+1)</f>
        <v>0.3</v>
      </c>
      <c r="M33" s="8">
        <f>INDEX(Hedef!$C$17:$C$21,Kanit!M33+1)</f>
        <v>0.3</v>
      </c>
      <c r="N33" s="8">
        <f>INDEX(Hedef!$C$17:$C$21,Kanit!N33+1)</f>
        <v>0.3</v>
      </c>
      <c r="O33" s="8">
        <f>INDEX(Hedef!$C$17:$C$21,Kanit!O33+1)</f>
        <v>0.3</v>
      </c>
      <c r="P33" s="8">
        <f>INDEX(Hedef!$C$17:$C$21,Kanit!P33+1)</f>
        <v>0.3</v>
      </c>
      <c r="Q33" s="8">
        <f>INDEX(Hedef!$C$17:$C$21,Kanit!Q33+1)</f>
        <v>0.3</v>
      </c>
      <c r="R33" s="8">
        <f>INDEX(Hedef!$C$17:$C$21,Kanit!R33+1)</f>
        <v>0.3</v>
      </c>
      <c r="S33" s="8">
        <f>INDEX(Hedef!$C$17:$C$21,Kanit!S33+1)</f>
        <v>0.3</v>
      </c>
      <c r="T33" s="8">
        <f>INDEX(Hedef!$C$17:$C$21,Kanit!T33+1)</f>
        <v>0.3</v>
      </c>
      <c r="U33" s="8">
        <f>INDEX(Hedef!$C$17:$C$21,Kanit!U33+1)</f>
        <v>0.3</v>
      </c>
      <c r="V33" s="8">
        <f>INDEX(Hedef!$C$17:$C$21,Kanit!V33+1)</f>
        <v>0.3</v>
      </c>
      <c r="W33" s="8">
        <f>INDEX(Hedef!$C$17:$C$21,Kanit!W33+1)</f>
        <v>0.3</v>
      </c>
      <c r="X33" s="8">
        <f>INDEX(Hedef!$C$17:$C$21,Kanit!X33+1)</f>
        <v>0.5</v>
      </c>
      <c r="Y33" s="8">
        <f>INDEX(Hedef!$C$17:$C$21,Kanit!Y33+1)</f>
        <v>0.5</v>
      </c>
      <c r="Z33" s="8">
        <f>INDEX(Hedef!$C$17:$C$21,Kanit!Z33+1)</f>
        <v>0.3</v>
      </c>
      <c r="AA33" s="8">
        <f>INDEX(Hedef!$C$17:$C$21,Kanit!AA33+1)</f>
        <v>0.3</v>
      </c>
      <c r="AB33" s="8">
        <f>INDEX(Hedef!$C$17:$C$21,Kanit!AB33+1)</f>
        <v>0.3</v>
      </c>
      <c r="AD33" s="8">
        <f>INDEX(Hedef!$C$17:$C$21,Kanit!AD33+1)</f>
        <v>0.5</v>
      </c>
      <c r="AE33" s="8">
        <f>INDEX(Hedef!$C$17:$C$21,Kanit!AE33+1)</f>
        <v>0.5</v>
      </c>
      <c r="AF33" s="8">
        <f>INDEX(Hedef!$C$17:$C$21,Kanit!AF33+1)</f>
        <v>0.3</v>
      </c>
      <c r="AG33" s="8">
        <f>INDEX(Hedef!$C$17:$C$21,Kanit!AG33+1)</f>
        <v>0.3</v>
      </c>
    </row>
    <row r="34">
      <c r="A34" s="7" t="str">
        <f>Secenekler!A34</f>
        <v>wp-nis-eklentiler-c</v>
      </c>
      <c r="B34" s="7" t="str">
        <f>Secenekler!C34</f>
        <v>Türkiye uyum kurulumu: sabit fiyatlı hizmet</v>
      </c>
      <c r="C34" s="8">
        <f>INDEX(Hedef!$C$17:$C$21,Kanit!C34+1)</f>
        <v>0.5</v>
      </c>
      <c r="D34" s="8">
        <f>INDEX(Hedef!$C$17:$C$21,Kanit!D34+1)</f>
        <v>0.5</v>
      </c>
      <c r="E34" s="8">
        <f>INDEX(Hedef!$C$17:$C$21,Kanit!E34+1)</f>
        <v>0.3</v>
      </c>
      <c r="F34" s="8">
        <f>INDEX(Hedef!$C$17:$C$21,Kanit!F34+1)</f>
        <v>0.5</v>
      </c>
      <c r="G34" s="8">
        <f>INDEX(Hedef!$C$17:$C$21,Kanit!G34+1)</f>
        <v>0.3</v>
      </c>
      <c r="H34" s="8">
        <f>INDEX(Hedef!$C$17:$C$21,Kanit!H34+1)</f>
        <v>0.3</v>
      </c>
      <c r="I34" s="8">
        <f>INDEX(Hedef!$C$17:$C$21,Kanit!I34+1)</f>
        <v>0.3</v>
      </c>
      <c r="J34" s="8">
        <f>INDEX(Hedef!$C$17:$C$21,Kanit!J34+1)</f>
        <v>0.5</v>
      </c>
      <c r="K34" s="8">
        <f>INDEX(Hedef!$C$17:$C$21,Kanit!K34+1)</f>
        <v>0.3</v>
      </c>
      <c r="L34" s="8">
        <f>INDEX(Hedef!$C$17:$C$21,Kanit!L34+1)</f>
        <v>0.3</v>
      </c>
      <c r="M34" s="8">
        <f>INDEX(Hedef!$C$17:$C$21,Kanit!M34+1)</f>
        <v>0.5</v>
      </c>
      <c r="N34" s="8">
        <f>INDEX(Hedef!$C$17:$C$21,Kanit!N34+1)</f>
        <v>0.3</v>
      </c>
      <c r="O34" s="8">
        <f>INDEX(Hedef!$C$17:$C$21,Kanit!O34+1)</f>
        <v>0.3</v>
      </c>
      <c r="P34" s="8">
        <f>INDEX(Hedef!$C$17:$C$21,Kanit!P34+1)</f>
        <v>0.3</v>
      </c>
      <c r="Q34" s="8">
        <f>INDEX(Hedef!$C$17:$C$21,Kanit!Q34+1)</f>
        <v>0.3</v>
      </c>
      <c r="R34" s="8">
        <f>INDEX(Hedef!$C$17:$C$21,Kanit!R34+1)</f>
        <v>0.3</v>
      </c>
      <c r="S34" s="8">
        <f>INDEX(Hedef!$C$17:$C$21,Kanit!S34+1)</f>
        <v>0.3</v>
      </c>
      <c r="T34" s="8">
        <f>INDEX(Hedef!$C$17:$C$21,Kanit!T34+1)</f>
        <v>0.3</v>
      </c>
      <c r="U34" s="8">
        <f>INDEX(Hedef!$C$17:$C$21,Kanit!U34+1)</f>
        <v>0.3</v>
      </c>
      <c r="V34" s="8">
        <f>INDEX(Hedef!$C$17:$C$21,Kanit!V34+1)</f>
        <v>0.3</v>
      </c>
      <c r="W34" s="8">
        <f>INDEX(Hedef!$C$17:$C$21,Kanit!W34+1)</f>
        <v>0.3</v>
      </c>
      <c r="X34" s="8">
        <f>INDEX(Hedef!$C$17:$C$21,Kanit!X34+1)</f>
        <v>0.5</v>
      </c>
      <c r="Y34" s="8">
        <f>INDEX(Hedef!$C$17:$C$21,Kanit!Y34+1)</f>
        <v>0.5</v>
      </c>
      <c r="Z34" s="8">
        <f>INDEX(Hedef!$C$17:$C$21,Kanit!Z34+1)</f>
        <v>0.3</v>
      </c>
      <c r="AA34" s="8">
        <f>INDEX(Hedef!$C$17:$C$21,Kanit!AA34+1)</f>
        <v>0.5</v>
      </c>
      <c r="AB34" s="8">
        <f>INDEX(Hedef!$C$17:$C$21,Kanit!AB34+1)</f>
        <v>0.3</v>
      </c>
      <c r="AD34" s="8">
        <f>INDEX(Hedef!$C$17:$C$21,Kanit!AD34+1)</f>
        <v>0.5</v>
      </c>
      <c r="AE34" s="8">
        <f>INDEX(Hedef!$C$17:$C$21,Kanit!AE34+1)</f>
        <v>0.3</v>
      </c>
      <c r="AF34" s="8">
        <f>INDEX(Hedef!$C$17:$C$21,Kanit!AF34+1)</f>
        <v>0.3</v>
      </c>
      <c r="AG34" s="8">
        <f>INDEX(Hedef!$C$17:$C$21,Kanit!AG34+1)</f>
        <v>0.3</v>
      </c>
    </row>
    <row r="35">
      <c r="A35" s="7" t="str">
        <f>Secenekler!A35</f>
        <v>qral-a</v>
      </c>
      <c r="B35" s="7" t="str">
        <f>Secenekler!C35</f>
        <v>Pro lisansı: bilgi çalışanı ve yapay zekâ kullanıcısı</v>
      </c>
      <c r="C35" s="8">
        <f>INDEX(Hedef!$C$17:$C$21,Kanit!C35+1)</f>
        <v>0.5</v>
      </c>
      <c r="D35" s="8">
        <f>INDEX(Hedef!$C$17:$C$21,Kanit!D35+1)</f>
        <v>0.3</v>
      </c>
      <c r="E35" s="8">
        <f>INDEX(Hedef!$C$17:$C$21,Kanit!E35+1)</f>
        <v>0.5</v>
      </c>
      <c r="F35" s="8">
        <f>INDEX(Hedef!$C$17:$C$21,Kanit!F35+1)</f>
        <v>0.5</v>
      </c>
      <c r="G35" s="8">
        <f>INDEX(Hedef!$C$17:$C$21,Kanit!G35+1)</f>
        <v>0.3</v>
      </c>
      <c r="H35" s="8">
        <f>INDEX(Hedef!$C$17:$C$21,Kanit!H35+1)</f>
        <v>0.5</v>
      </c>
      <c r="I35" s="8">
        <f>INDEX(Hedef!$C$17:$C$21,Kanit!I35+1)</f>
        <v>0.3</v>
      </c>
      <c r="J35" s="8">
        <f>INDEX(Hedef!$C$17:$C$21,Kanit!J35+1)</f>
        <v>0.5</v>
      </c>
      <c r="K35" s="8">
        <f>INDEX(Hedef!$C$17:$C$21,Kanit!K35+1)</f>
        <v>0.5</v>
      </c>
      <c r="L35" s="8">
        <f>INDEX(Hedef!$C$17:$C$21,Kanit!L35+1)</f>
        <v>0.3</v>
      </c>
      <c r="M35" s="8">
        <f>INDEX(Hedef!$C$17:$C$21,Kanit!M35+1)</f>
        <v>0.5</v>
      </c>
      <c r="N35" s="8">
        <f>INDEX(Hedef!$C$17:$C$21,Kanit!N35+1)</f>
        <v>0.3</v>
      </c>
      <c r="O35" s="8">
        <f>INDEX(Hedef!$C$17:$C$21,Kanit!O35+1)</f>
        <v>0.3</v>
      </c>
      <c r="P35" s="8">
        <f>INDEX(Hedef!$C$17:$C$21,Kanit!P35+1)</f>
        <v>0.3</v>
      </c>
      <c r="Q35" s="8">
        <f>INDEX(Hedef!$C$17:$C$21,Kanit!Q35+1)</f>
        <v>0.3</v>
      </c>
      <c r="R35" s="8">
        <f>INDEX(Hedef!$C$17:$C$21,Kanit!R35+1)</f>
        <v>0.5</v>
      </c>
      <c r="S35" s="8">
        <f>INDEX(Hedef!$C$17:$C$21,Kanit!S35+1)</f>
        <v>0.3</v>
      </c>
      <c r="T35" s="8">
        <f>INDEX(Hedef!$C$17:$C$21,Kanit!T35+1)</f>
        <v>0.5</v>
      </c>
      <c r="U35" s="8">
        <f>INDEX(Hedef!$C$17:$C$21,Kanit!U35+1)</f>
        <v>0.3</v>
      </c>
      <c r="V35" s="8">
        <f>INDEX(Hedef!$C$17:$C$21,Kanit!V35+1)</f>
        <v>0.3</v>
      </c>
      <c r="W35" s="8">
        <f>INDEX(Hedef!$C$17:$C$21,Kanit!W35+1)</f>
        <v>0.3</v>
      </c>
      <c r="X35" s="8">
        <f>INDEX(Hedef!$C$17:$C$21,Kanit!X35+1)</f>
        <v>0.3</v>
      </c>
      <c r="Y35" s="8">
        <f>INDEX(Hedef!$C$17:$C$21,Kanit!Y35+1)</f>
        <v>0.5</v>
      </c>
      <c r="Z35" s="8">
        <f>INDEX(Hedef!$C$17:$C$21,Kanit!Z35+1)</f>
        <v>0.3</v>
      </c>
      <c r="AA35" s="8">
        <f>INDEX(Hedef!$C$17:$C$21,Kanit!AA35+1)</f>
        <v>0.5</v>
      </c>
      <c r="AB35" s="8">
        <f>INDEX(Hedef!$C$17:$C$21,Kanit!AB35+1)</f>
        <v>0.3</v>
      </c>
      <c r="AD35" s="8">
        <f>INDEX(Hedef!$C$17:$C$21,Kanit!AD35+1)</f>
        <v>0.5</v>
      </c>
      <c r="AE35" s="8">
        <f>INDEX(Hedef!$C$17:$C$21,Kanit!AE35+1)</f>
        <v>0.5</v>
      </c>
      <c r="AF35" s="8">
        <f>INDEX(Hedef!$C$17:$C$21,Kanit!AF35+1)</f>
        <v>0.3</v>
      </c>
      <c r="AG35" s="8">
        <f>INDEX(Hedef!$C$17:$C$21,Kanit!AG35+1)</f>
        <v>0.3</v>
      </c>
    </row>
    <row r="36">
      <c r="A36" s="7" t="str">
        <f>Secenekler!A36</f>
        <v>qral-b</v>
      </c>
      <c r="B36" s="7" t="str">
        <f>Secenekler!C36</f>
        <v>Sınıf Paketi: öğretmen ve okul için QR sayfası</v>
      </c>
      <c r="C36" s="8">
        <f>INDEX(Hedef!$C$17:$C$21,Kanit!C36+1)</f>
        <v>0.3</v>
      </c>
      <c r="D36" s="8">
        <f>INDEX(Hedef!$C$17:$C$21,Kanit!D36+1)</f>
        <v>0.3</v>
      </c>
      <c r="E36" s="8">
        <f>INDEX(Hedef!$C$17:$C$21,Kanit!E36+1)</f>
        <v>0.3</v>
      </c>
      <c r="F36" s="8">
        <f>INDEX(Hedef!$C$17:$C$21,Kanit!F36+1)</f>
        <v>0.5</v>
      </c>
      <c r="G36" s="8">
        <f>INDEX(Hedef!$C$17:$C$21,Kanit!G36+1)</f>
        <v>0.3</v>
      </c>
      <c r="H36" s="8">
        <f>INDEX(Hedef!$C$17:$C$21,Kanit!H36+1)</f>
        <v>0.3</v>
      </c>
      <c r="I36" s="8">
        <f>INDEX(Hedef!$C$17:$C$21,Kanit!I36+1)</f>
        <v>0.3</v>
      </c>
      <c r="J36" s="8">
        <f>INDEX(Hedef!$C$17:$C$21,Kanit!J36+1)</f>
        <v>0.3</v>
      </c>
      <c r="K36" s="8">
        <f>INDEX(Hedef!$C$17:$C$21,Kanit!K36+1)</f>
        <v>0.3</v>
      </c>
      <c r="L36" s="8">
        <f>INDEX(Hedef!$C$17:$C$21,Kanit!L36+1)</f>
        <v>0.3</v>
      </c>
      <c r="M36" s="8">
        <f>INDEX(Hedef!$C$17:$C$21,Kanit!M36+1)</f>
        <v>0.5</v>
      </c>
      <c r="N36" s="8">
        <f>INDEX(Hedef!$C$17:$C$21,Kanit!N36+1)</f>
        <v>0.3</v>
      </c>
      <c r="O36" s="8">
        <f>INDEX(Hedef!$C$17:$C$21,Kanit!O36+1)</f>
        <v>0.3</v>
      </c>
      <c r="P36" s="8">
        <f>INDEX(Hedef!$C$17:$C$21,Kanit!P36+1)</f>
        <v>0.3</v>
      </c>
      <c r="Q36" s="8">
        <f>INDEX(Hedef!$C$17:$C$21,Kanit!Q36+1)</f>
        <v>0.3</v>
      </c>
      <c r="R36" s="8">
        <f>INDEX(Hedef!$C$17:$C$21,Kanit!R36+1)</f>
        <v>0.3</v>
      </c>
      <c r="S36" s="8">
        <f>INDEX(Hedef!$C$17:$C$21,Kanit!S36+1)</f>
        <v>0.3</v>
      </c>
      <c r="T36" s="8">
        <f>INDEX(Hedef!$C$17:$C$21,Kanit!T36+1)</f>
        <v>0.5</v>
      </c>
      <c r="U36" s="8">
        <f>INDEX(Hedef!$C$17:$C$21,Kanit!U36+1)</f>
        <v>0.3</v>
      </c>
      <c r="V36" s="8">
        <f>INDEX(Hedef!$C$17:$C$21,Kanit!V36+1)</f>
        <v>0.3</v>
      </c>
      <c r="W36" s="8">
        <f>INDEX(Hedef!$C$17:$C$21,Kanit!W36+1)</f>
        <v>0.3</v>
      </c>
      <c r="X36" s="8">
        <f>INDEX(Hedef!$C$17:$C$21,Kanit!X36+1)</f>
        <v>0.3</v>
      </c>
      <c r="Y36" s="8">
        <f>INDEX(Hedef!$C$17:$C$21,Kanit!Y36+1)</f>
        <v>0.5</v>
      </c>
      <c r="Z36" s="8">
        <f>INDEX(Hedef!$C$17:$C$21,Kanit!Z36+1)</f>
        <v>0.3</v>
      </c>
      <c r="AA36" s="8">
        <f>INDEX(Hedef!$C$17:$C$21,Kanit!AA36+1)</f>
        <v>0.3</v>
      </c>
      <c r="AB36" s="8">
        <f>INDEX(Hedef!$C$17:$C$21,Kanit!AB36+1)</f>
        <v>0.3</v>
      </c>
      <c r="AD36" s="8">
        <f>INDEX(Hedef!$C$17:$C$21,Kanit!AD36+1)</f>
        <v>0.5</v>
      </c>
      <c r="AE36" s="8">
        <f>INDEX(Hedef!$C$17:$C$21,Kanit!AE36+1)</f>
        <v>0.5</v>
      </c>
      <c r="AF36" s="8">
        <f>INDEX(Hedef!$C$17:$C$21,Kanit!AF36+1)</f>
        <v>0.3</v>
      </c>
      <c r="AG36" s="8">
        <f>INDEX(Hedef!$C$17:$C$21,Kanit!AG36+1)</f>
        <v>0.3</v>
      </c>
    </row>
    <row r="37">
      <c r="A37" s="7" t="str">
        <f>Secenekler!A37</f>
        <v>qral-c</v>
      </c>
      <c r="B37" s="7" t="str">
        <f>Secenekler!C37</f>
        <v>Araştırma ekibi için kaynak dışa aktarma şablon paketi</v>
      </c>
      <c r="C37" s="8">
        <f>INDEX(Hedef!$C$17:$C$21,Kanit!C37+1)</f>
        <v>0.3</v>
      </c>
      <c r="D37" s="8">
        <f>INDEX(Hedef!$C$17:$C$21,Kanit!D37+1)</f>
        <v>0.3</v>
      </c>
      <c r="E37" s="8">
        <f>INDEX(Hedef!$C$17:$C$21,Kanit!E37+1)</f>
        <v>0.3</v>
      </c>
      <c r="F37" s="8">
        <f>INDEX(Hedef!$C$17:$C$21,Kanit!F37+1)</f>
        <v>0.5</v>
      </c>
      <c r="G37" s="8">
        <f>INDEX(Hedef!$C$17:$C$21,Kanit!G37+1)</f>
        <v>0.3</v>
      </c>
      <c r="H37" s="8">
        <f>INDEX(Hedef!$C$17:$C$21,Kanit!H37+1)</f>
        <v>0.3</v>
      </c>
      <c r="I37" s="8">
        <f>INDEX(Hedef!$C$17:$C$21,Kanit!I37+1)</f>
        <v>0.3</v>
      </c>
      <c r="J37" s="8">
        <f>INDEX(Hedef!$C$17:$C$21,Kanit!J37+1)</f>
        <v>0.3</v>
      </c>
      <c r="K37" s="8">
        <f>INDEX(Hedef!$C$17:$C$21,Kanit!K37+1)</f>
        <v>0.3</v>
      </c>
      <c r="L37" s="8">
        <f>INDEX(Hedef!$C$17:$C$21,Kanit!L37+1)</f>
        <v>0.3</v>
      </c>
      <c r="M37" s="8">
        <f>INDEX(Hedef!$C$17:$C$21,Kanit!M37+1)</f>
        <v>0.3</v>
      </c>
      <c r="N37" s="8">
        <f>INDEX(Hedef!$C$17:$C$21,Kanit!N37+1)</f>
        <v>0.3</v>
      </c>
      <c r="O37" s="8">
        <f>INDEX(Hedef!$C$17:$C$21,Kanit!O37+1)</f>
        <v>0.3</v>
      </c>
      <c r="P37" s="8">
        <f>INDEX(Hedef!$C$17:$C$21,Kanit!P37+1)</f>
        <v>0.3</v>
      </c>
      <c r="Q37" s="8">
        <f>INDEX(Hedef!$C$17:$C$21,Kanit!Q37+1)</f>
        <v>0.3</v>
      </c>
      <c r="R37" s="8">
        <f>INDEX(Hedef!$C$17:$C$21,Kanit!R37+1)</f>
        <v>0.3</v>
      </c>
      <c r="S37" s="8">
        <f>INDEX(Hedef!$C$17:$C$21,Kanit!S37+1)</f>
        <v>0.3</v>
      </c>
      <c r="T37" s="8">
        <f>INDEX(Hedef!$C$17:$C$21,Kanit!T37+1)</f>
        <v>0.3</v>
      </c>
      <c r="U37" s="8">
        <f>INDEX(Hedef!$C$17:$C$21,Kanit!U37+1)</f>
        <v>0.3</v>
      </c>
      <c r="V37" s="8">
        <f>INDEX(Hedef!$C$17:$C$21,Kanit!V37+1)</f>
        <v>0.3</v>
      </c>
      <c r="W37" s="8">
        <f>INDEX(Hedef!$C$17:$C$21,Kanit!W37+1)</f>
        <v>0.3</v>
      </c>
      <c r="X37" s="8">
        <f>INDEX(Hedef!$C$17:$C$21,Kanit!X37+1)</f>
        <v>0.3</v>
      </c>
      <c r="Y37" s="8">
        <f>INDEX(Hedef!$C$17:$C$21,Kanit!Y37+1)</f>
        <v>0.5</v>
      </c>
      <c r="Z37" s="8">
        <f>INDEX(Hedef!$C$17:$C$21,Kanit!Z37+1)</f>
        <v>0.3</v>
      </c>
      <c r="AA37" s="8">
        <f>INDEX(Hedef!$C$17:$C$21,Kanit!AA37+1)</f>
        <v>0.3</v>
      </c>
      <c r="AB37" s="8">
        <f>INDEX(Hedef!$C$17:$C$21,Kanit!AB37+1)</f>
        <v>0.3</v>
      </c>
      <c r="AD37" s="8">
        <f>INDEX(Hedef!$C$17:$C$21,Kanit!AD37+1)</f>
        <v>0.3</v>
      </c>
      <c r="AE37" s="8">
        <f>INDEX(Hedef!$C$17:$C$21,Kanit!AE37+1)</f>
        <v>0.3</v>
      </c>
      <c r="AF37" s="8">
        <f>INDEX(Hedef!$C$17:$C$21,Kanit!AF37+1)</f>
        <v>0.3</v>
      </c>
      <c r="AG37" s="8">
        <f>INDEX(Hedef!$C$17:$C$21,Kanit!AG37+1)</f>
        <v>0.3</v>
      </c>
    </row>
    <row r="38">
      <c r="A38" s="7" t="str">
        <f>Secenekler!A38</f>
        <v>frontend-atlasi-a</v>
      </c>
      <c r="B38" s="7" t="str">
        <f>Secenekler!C38</f>
        <v>Eğitmen lisansı ve AI ile Eğitim Sitesi Kiti</v>
      </c>
      <c r="C38" s="8">
        <f>INDEX(Hedef!$C$17:$C$21,Kanit!C38+1)</f>
        <v>0.3</v>
      </c>
      <c r="D38" s="8">
        <f>INDEX(Hedef!$C$17:$C$21,Kanit!D38+1)</f>
        <v>0.3</v>
      </c>
      <c r="E38" s="8">
        <f>INDEX(Hedef!$C$17:$C$21,Kanit!E38+1)</f>
        <v>0.3</v>
      </c>
      <c r="F38" s="8">
        <f>INDEX(Hedef!$C$17:$C$21,Kanit!F38+1)</f>
        <v>0.5</v>
      </c>
      <c r="G38" s="8">
        <f>INDEX(Hedef!$C$17:$C$21,Kanit!G38+1)</f>
        <v>0.3</v>
      </c>
      <c r="H38" s="8">
        <f>INDEX(Hedef!$C$17:$C$21,Kanit!H38+1)</f>
        <v>0.5</v>
      </c>
      <c r="I38" s="8">
        <f>INDEX(Hedef!$C$17:$C$21,Kanit!I38+1)</f>
        <v>0.3</v>
      </c>
      <c r="J38" s="8">
        <f>INDEX(Hedef!$C$17:$C$21,Kanit!J38+1)</f>
        <v>0.5</v>
      </c>
      <c r="K38" s="8">
        <f>INDEX(Hedef!$C$17:$C$21,Kanit!K38+1)</f>
        <v>0.3</v>
      </c>
      <c r="L38" s="8">
        <f>INDEX(Hedef!$C$17:$C$21,Kanit!L38+1)</f>
        <v>0.3</v>
      </c>
      <c r="M38" s="8">
        <f>INDEX(Hedef!$C$17:$C$21,Kanit!M38+1)</f>
        <v>0.5</v>
      </c>
      <c r="N38" s="8">
        <f>INDEX(Hedef!$C$17:$C$21,Kanit!N38+1)</f>
        <v>0.3</v>
      </c>
      <c r="O38" s="8">
        <f>INDEX(Hedef!$C$17:$C$21,Kanit!O38+1)</f>
        <v>0.3</v>
      </c>
      <c r="P38" s="8">
        <f>INDEX(Hedef!$C$17:$C$21,Kanit!P38+1)</f>
        <v>0.3</v>
      </c>
      <c r="Q38" s="8">
        <f>INDEX(Hedef!$C$17:$C$21,Kanit!Q38+1)</f>
        <v>0.3</v>
      </c>
      <c r="R38" s="8">
        <f>INDEX(Hedef!$C$17:$C$21,Kanit!R38+1)</f>
        <v>0.3</v>
      </c>
      <c r="S38" s="8">
        <f>INDEX(Hedef!$C$17:$C$21,Kanit!S38+1)</f>
        <v>0.3</v>
      </c>
      <c r="T38" s="8">
        <f>INDEX(Hedef!$C$17:$C$21,Kanit!T38+1)</f>
        <v>0.3</v>
      </c>
      <c r="U38" s="8">
        <f>INDEX(Hedef!$C$17:$C$21,Kanit!U38+1)</f>
        <v>0.5</v>
      </c>
      <c r="V38" s="8">
        <f>INDEX(Hedef!$C$17:$C$21,Kanit!V38+1)</f>
        <v>0.3</v>
      </c>
      <c r="W38" s="8">
        <f>INDEX(Hedef!$C$17:$C$21,Kanit!W38+1)</f>
        <v>0.3</v>
      </c>
      <c r="X38" s="8">
        <f>INDEX(Hedef!$C$17:$C$21,Kanit!X38+1)</f>
        <v>0.5</v>
      </c>
      <c r="Y38" s="8">
        <f>INDEX(Hedef!$C$17:$C$21,Kanit!Y38+1)</f>
        <v>0.5</v>
      </c>
      <c r="Z38" s="8">
        <f>INDEX(Hedef!$C$17:$C$21,Kanit!Z38+1)</f>
        <v>0.3</v>
      </c>
      <c r="AA38" s="8">
        <f>INDEX(Hedef!$C$17:$C$21,Kanit!AA38+1)</f>
        <v>0.3</v>
      </c>
      <c r="AB38" s="8">
        <f>INDEX(Hedef!$C$17:$C$21,Kanit!AB38+1)</f>
        <v>0.3</v>
      </c>
      <c r="AD38" s="8">
        <f>INDEX(Hedef!$C$17:$C$21,Kanit!AD38+1)</f>
        <v>0.5</v>
      </c>
      <c r="AE38" s="8">
        <f>INDEX(Hedef!$C$17:$C$21,Kanit!AE38+1)</f>
        <v>0.5</v>
      </c>
      <c r="AF38" s="8">
        <f>INDEX(Hedef!$C$17:$C$21,Kanit!AF38+1)</f>
        <v>0.3</v>
      </c>
      <c r="AG38" s="8">
        <f>INDEX(Hedef!$C$17:$C$21,Kanit!AG38+1)</f>
        <v>0.5</v>
      </c>
    </row>
    <row r="39">
      <c r="A39" s="7" t="str">
        <f>Secenekler!A39</f>
        <v>frontend-atlasi-b</v>
      </c>
      <c r="B39" s="7" t="str">
        <f>Secenekler!C39</f>
        <v>Laboratuvar alıştırma paketi (öğrenenlere, arama ile)</v>
      </c>
      <c r="C39" s="8">
        <f>INDEX(Hedef!$C$17:$C$21,Kanit!C39+1)</f>
        <v>0.5</v>
      </c>
      <c r="D39" s="8">
        <f>INDEX(Hedef!$C$17:$C$21,Kanit!D39+1)</f>
        <v>0.3</v>
      </c>
      <c r="E39" s="8">
        <f>INDEX(Hedef!$C$17:$C$21,Kanit!E39+1)</f>
        <v>0.5</v>
      </c>
      <c r="F39" s="8">
        <f>INDEX(Hedef!$C$17:$C$21,Kanit!F39+1)</f>
        <v>0.5</v>
      </c>
      <c r="G39" s="8">
        <f>INDEX(Hedef!$C$17:$C$21,Kanit!G39+1)</f>
        <v>0.3</v>
      </c>
      <c r="H39" s="8">
        <f>INDEX(Hedef!$C$17:$C$21,Kanit!H39+1)</f>
        <v>0.5</v>
      </c>
      <c r="I39" s="8">
        <f>INDEX(Hedef!$C$17:$C$21,Kanit!I39+1)</f>
        <v>0.3</v>
      </c>
      <c r="J39" s="8">
        <f>INDEX(Hedef!$C$17:$C$21,Kanit!J39+1)</f>
        <v>0.3</v>
      </c>
      <c r="K39" s="8">
        <f>INDEX(Hedef!$C$17:$C$21,Kanit!K39+1)</f>
        <v>0.3</v>
      </c>
      <c r="L39" s="8">
        <f>INDEX(Hedef!$C$17:$C$21,Kanit!L39+1)</f>
        <v>0.3</v>
      </c>
      <c r="M39" s="8">
        <f>INDEX(Hedef!$C$17:$C$21,Kanit!M39+1)</f>
        <v>0.5</v>
      </c>
      <c r="N39" s="8">
        <f>INDEX(Hedef!$C$17:$C$21,Kanit!N39+1)</f>
        <v>0.3</v>
      </c>
      <c r="O39" s="8">
        <f>INDEX(Hedef!$C$17:$C$21,Kanit!O39+1)</f>
        <v>0.3</v>
      </c>
      <c r="P39" s="8">
        <f>INDEX(Hedef!$C$17:$C$21,Kanit!P39+1)</f>
        <v>0.3</v>
      </c>
      <c r="Q39" s="8">
        <f>INDEX(Hedef!$C$17:$C$21,Kanit!Q39+1)</f>
        <v>0.3</v>
      </c>
      <c r="R39" s="8">
        <f>INDEX(Hedef!$C$17:$C$21,Kanit!R39+1)</f>
        <v>0.3</v>
      </c>
      <c r="S39" s="8">
        <f>INDEX(Hedef!$C$17:$C$21,Kanit!S39+1)</f>
        <v>0.3</v>
      </c>
      <c r="T39" s="8">
        <f>INDEX(Hedef!$C$17:$C$21,Kanit!T39+1)</f>
        <v>0.3</v>
      </c>
      <c r="U39" s="8">
        <f>INDEX(Hedef!$C$17:$C$21,Kanit!U39+1)</f>
        <v>0.5</v>
      </c>
      <c r="V39" s="8">
        <f>INDEX(Hedef!$C$17:$C$21,Kanit!V39+1)</f>
        <v>0.3</v>
      </c>
      <c r="W39" s="8">
        <f>INDEX(Hedef!$C$17:$C$21,Kanit!W39+1)</f>
        <v>0.3</v>
      </c>
      <c r="X39" s="8">
        <f>INDEX(Hedef!$C$17:$C$21,Kanit!X39+1)</f>
        <v>0.5</v>
      </c>
      <c r="Y39" s="8">
        <f>INDEX(Hedef!$C$17:$C$21,Kanit!Y39+1)</f>
        <v>0.5</v>
      </c>
      <c r="Z39" s="8">
        <f>INDEX(Hedef!$C$17:$C$21,Kanit!Z39+1)</f>
        <v>0.3</v>
      </c>
      <c r="AA39" s="8">
        <f>INDEX(Hedef!$C$17:$C$21,Kanit!AA39+1)</f>
        <v>0.3</v>
      </c>
      <c r="AB39" s="8">
        <f>INDEX(Hedef!$C$17:$C$21,Kanit!AB39+1)</f>
        <v>0.3</v>
      </c>
      <c r="AD39" s="8">
        <f>INDEX(Hedef!$C$17:$C$21,Kanit!AD39+1)</f>
        <v>0.5</v>
      </c>
      <c r="AE39" s="8">
        <f>INDEX(Hedef!$C$17:$C$21,Kanit!AE39+1)</f>
        <v>0.5</v>
      </c>
      <c r="AF39" s="8">
        <f>INDEX(Hedef!$C$17:$C$21,Kanit!AF39+1)</f>
        <v>0.3</v>
      </c>
      <c r="AG39" s="8">
        <f>INDEX(Hedef!$C$17:$C$21,Kanit!AG39+1)</f>
        <v>0.3</v>
      </c>
    </row>
    <row r="40">
      <c r="A40" s="7" t="str">
        <f>Secenekler!A40</f>
        <v>frontend-atlasi-c</v>
      </c>
      <c r="B40" s="7" t="str">
        <f>Secenekler!C40</f>
        <v>Eğitmene sabit kapsamlı ders ve laboratuvar üretimi</v>
      </c>
      <c r="C40" s="8">
        <f>INDEX(Hedef!$C$17:$C$21,Kanit!C40+1)</f>
        <v>0.3</v>
      </c>
      <c r="D40" s="8">
        <f>INDEX(Hedef!$C$17:$C$21,Kanit!D40+1)</f>
        <v>0.3</v>
      </c>
      <c r="E40" s="8">
        <f>INDEX(Hedef!$C$17:$C$21,Kanit!E40+1)</f>
        <v>0.3</v>
      </c>
      <c r="F40" s="8">
        <f>INDEX(Hedef!$C$17:$C$21,Kanit!F40+1)</f>
        <v>0.5</v>
      </c>
      <c r="G40" s="8">
        <f>INDEX(Hedef!$C$17:$C$21,Kanit!G40+1)</f>
        <v>0.3</v>
      </c>
      <c r="H40" s="8">
        <f>INDEX(Hedef!$C$17:$C$21,Kanit!H40+1)</f>
        <v>0.3</v>
      </c>
      <c r="I40" s="8">
        <f>INDEX(Hedef!$C$17:$C$21,Kanit!I40+1)</f>
        <v>0.3</v>
      </c>
      <c r="J40" s="8">
        <f>INDEX(Hedef!$C$17:$C$21,Kanit!J40+1)</f>
        <v>0.3</v>
      </c>
      <c r="K40" s="8">
        <f>INDEX(Hedef!$C$17:$C$21,Kanit!K40+1)</f>
        <v>0.3</v>
      </c>
      <c r="L40" s="8">
        <f>INDEX(Hedef!$C$17:$C$21,Kanit!L40+1)</f>
        <v>0.3</v>
      </c>
      <c r="M40" s="8">
        <f>INDEX(Hedef!$C$17:$C$21,Kanit!M40+1)</f>
        <v>0.5</v>
      </c>
      <c r="N40" s="8">
        <f>INDEX(Hedef!$C$17:$C$21,Kanit!N40+1)</f>
        <v>0.3</v>
      </c>
      <c r="O40" s="8">
        <f>INDEX(Hedef!$C$17:$C$21,Kanit!O40+1)</f>
        <v>0.3</v>
      </c>
      <c r="P40" s="8">
        <f>INDEX(Hedef!$C$17:$C$21,Kanit!P40+1)</f>
        <v>0.3</v>
      </c>
      <c r="Q40" s="8">
        <f>INDEX(Hedef!$C$17:$C$21,Kanit!Q40+1)</f>
        <v>0.3</v>
      </c>
      <c r="R40" s="8">
        <f>INDEX(Hedef!$C$17:$C$21,Kanit!R40+1)</f>
        <v>0.3</v>
      </c>
      <c r="S40" s="8">
        <f>INDEX(Hedef!$C$17:$C$21,Kanit!S40+1)</f>
        <v>0.3</v>
      </c>
      <c r="T40" s="8">
        <f>INDEX(Hedef!$C$17:$C$21,Kanit!T40+1)</f>
        <v>0.3</v>
      </c>
      <c r="U40" s="8">
        <f>INDEX(Hedef!$C$17:$C$21,Kanit!U40+1)</f>
        <v>0.5</v>
      </c>
      <c r="V40" s="8">
        <f>INDEX(Hedef!$C$17:$C$21,Kanit!V40+1)</f>
        <v>0.3</v>
      </c>
      <c r="W40" s="8">
        <f>INDEX(Hedef!$C$17:$C$21,Kanit!W40+1)</f>
        <v>0.3</v>
      </c>
      <c r="X40" s="8">
        <f>INDEX(Hedef!$C$17:$C$21,Kanit!X40+1)</f>
        <v>0.5</v>
      </c>
      <c r="Y40" s="8">
        <f>INDEX(Hedef!$C$17:$C$21,Kanit!Y40+1)</f>
        <v>0.3</v>
      </c>
      <c r="Z40" s="8">
        <f>INDEX(Hedef!$C$17:$C$21,Kanit!Z40+1)</f>
        <v>0.3</v>
      </c>
      <c r="AA40" s="8">
        <f>INDEX(Hedef!$C$17:$C$21,Kanit!AA40+1)</f>
        <v>0.3</v>
      </c>
      <c r="AB40" s="8">
        <f>INDEX(Hedef!$C$17:$C$21,Kanit!AB40+1)</f>
        <v>0.3</v>
      </c>
      <c r="AD40" s="8">
        <f>INDEX(Hedef!$C$17:$C$21,Kanit!AD40+1)</f>
        <v>0.5</v>
      </c>
      <c r="AE40" s="8">
        <f>INDEX(Hedef!$C$17:$C$21,Kanit!AE40+1)</f>
        <v>0.3</v>
      </c>
      <c r="AF40" s="8">
        <f>INDEX(Hedef!$C$17:$C$21,Kanit!AF40+1)</f>
        <v>0.3</v>
      </c>
      <c r="AG40" s="8">
        <f>INDEX(Hedef!$C$17:$C$21,Kanit!AG40+1)</f>
        <v>0.3</v>
      </c>
    </row>
    <row r="41">
      <c r="A41" s="7" t="str">
        <f>Secenekler!A41</f>
        <v>karar-kitabi-a</v>
      </c>
      <c r="B41" s="7" t="str">
        <f>Secenekler!C41</f>
        <v>Yarım günlük kurumsal karar atölyesi</v>
      </c>
      <c r="C41" s="8">
        <f>INDEX(Hedef!$C$17:$C$21,Kanit!C41+1)</f>
        <v>0.3</v>
      </c>
      <c r="D41" s="8">
        <f>INDEX(Hedef!$C$17:$C$21,Kanit!D41+1)</f>
        <v>0.3</v>
      </c>
      <c r="E41" s="8">
        <f>INDEX(Hedef!$C$17:$C$21,Kanit!E41+1)</f>
        <v>0.5</v>
      </c>
      <c r="F41" s="8">
        <f>INDEX(Hedef!$C$17:$C$21,Kanit!F41+1)</f>
        <v>0.5</v>
      </c>
      <c r="G41" s="8">
        <f>INDEX(Hedef!$C$17:$C$21,Kanit!G41+1)</f>
        <v>0.3</v>
      </c>
      <c r="H41" s="8">
        <f>INDEX(Hedef!$C$17:$C$21,Kanit!H41+1)</f>
        <v>0.5</v>
      </c>
      <c r="I41" s="8">
        <f>INDEX(Hedef!$C$17:$C$21,Kanit!I41+1)</f>
        <v>0.5</v>
      </c>
      <c r="J41" s="8">
        <f>INDEX(Hedef!$C$17:$C$21,Kanit!J41+1)</f>
        <v>0.5</v>
      </c>
      <c r="K41" s="8">
        <f>INDEX(Hedef!$C$17:$C$21,Kanit!K41+1)</f>
        <v>0.3</v>
      </c>
      <c r="L41" s="8">
        <f>INDEX(Hedef!$C$17:$C$21,Kanit!L41+1)</f>
        <v>0.3</v>
      </c>
      <c r="M41" s="8">
        <f>INDEX(Hedef!$C$17:$C$21,Kanit!M41+1)</f>
        <v>0.5</v>
      </c>
      <c r="N41" s="8">
        <f>INDEX(Hedef!$C$17:$C$21,Kanit!N41+1)</f>
        <v>0.3</v>
      </c>
      <c r="O41" s="8">
        <f>INDEX(Hedef!$C$17:$C$21,Kanit!O41+1)</f>
        <v>0.3</v>
      </c>
      <c r="P41" s="8">
        <f>INDEX(Hedef!$C$17:$C$21,Kanit!P41+1)</f>
        <v>0.3</v>
      </c>
      <c r="Q41" s="8">
        <f>INDEX(Hedef!$C$17:$C$21,Kanit!Q41+1)</f>
        <v>0.3</v>
      </c>
      <c r="R41" s="8">
        <f>INDEX(Hedef!$C$17:$C$21,Kanit!R41+1)</f>
        <v>0.3</v>
      </c>
      <c r="S41" s="8">
        <f>INDEX(Hedef!$C$17:$C$21,Kanit!S41+1)</f>
        <v>0.3</v>
      </c>
      <c r="T41" s="8">
        <f>INDEX(Hedef!$C$17:$C$21,Kanit!T41+1)</f>
        <v>0.3</v>
      </c>
      <c r="U41" s="8">
        <f>INDEX(Hedef!$C$17:$C$21,Kanit!U41+1)</f>
        <v>0.3</v>
      </c>
      <c r="V41" s="8">
        <f>INDEX(Hedef!$C$17:$C$21,Kanit!V41+1)</f>
        <v>0.3</v>
      </c>
      <c r="W41" s="8">
        <f>INDEX(Hedef!$C$17:$C$21,Kanit!W41+1)</f>
        <v>0.3</v>
      </c>
      <c r="X41" s="8">
        <f>INDEX(Hedef!$C$17:$C$21,Kanit!X41+1)</f>
        <v>0.3</v>
      </c>
      <c r="Y41" s="8">
        <f>INDEX(Hedef!$C$17:$C$21,Kanit!Y41+1)</f>
        <v>0.3</v>
      </c>
      <c r="Z41" s="8">
        <f>INDEX(Hedef!$C$17:$C$21,Kanit!Z41+1)</f>
        <v>0.3</v>
      </c>
      <c r="AA41" s="8">
        <f>INDEX(Hedef!$C$17:$C$21,Kanit!AA41+1)</f>
        <v>0.3</v>
      </c>
      <c r="AB41" s="8">
        <f>INDEX(Hedef!$C$17:$C$21,Kanit!AB41+1)</f>
        <v>0.3</v>
      </c>
      <c r="AD41" s="8">
        <f>INDEX(Hedef!$C$17:$C$21,Kanit!AD41+1)</f>
        <v>0.3</v>
      </c>
      <c r="AE41" s="8">
        <f>INDEX(Hedef!$C$17:$C$21,Kanit!AE41+1)</f>
        <v>0.3</v>
      </c>
      <c r="AF41" s="8">
        <f>INDEX(Hedef!$C$17:$C$21,Kanit!AF41+1)</f>
        <v>0.3</v>
      </c>
      <c r="AG41" s="8">
        <f>INDEX(Hedef!$C$17:$C$21,Kanit!AG41+1)</f>
        <v>0.3</v>
      </c>
    </row>
    <row r="42">
      <c r="A42" s="7" t="str">
        <f>Secenekler!A42</f>
        <v>karar-kitabi-b</v>
      </c>
      <c r="B42" s="7" t="str">
        <f>Secenekler!C42</f>
        <v>Tema çalışma kâğıdı paketleri ve tam set</v>
      </c>
      <c r="C42" s="8">
        <f>INDEX(Hedef!$C$17:$C$21,Kanit!C42+1)</f>
        <v>0.3</v>
      </c>
      <c r="D42" s="8">
        <f>INDEX(Hedef!$C$17:$C$21,Kanit!D42+1)</f>
        <v>0.3</v>
      </c>
      <c r="E42" s="8">
        <f>INDEX(Hedef!$C$17:$C$21,Kanit!E42+1)</f>
        <v>0.5</v>
      </c>
      <c r="F42" s="8">
        <f>INDEX(Hedef!$C$17:$C$21,Kanit!F42+1)</f>
        <v>0.5</v>
      </c>
      <c r="G42" s="8">
        <f>INDEX(Hedef!$C$17:$C$21,Kanit!G42+1)</f>
        <v>0.3</v>
      </c>
      <c r="H42" s="8">
        <f>INDEX(Hedef!$C$17:$C$21,Kanit!H42+1)</f>
        <v>0.5</v>
      </c>
      <c r="I42" s="8">
        <f>INDEX(Hedef!$C$17:$C$21,Kanit!I42+1)</f>
        <v>0.3</v>
      </c>
      <c r="J42" s="8">
        <f>INDEX(Hedef!$C$17:$C$21,Kanit!J42+1)</f>
        <v>0.5</v>
      </c>
      <c r="K42" s="8">
        <f>INDEX(Hedef!$C$17:$C$21,Kanit!K42+1)</f>
        <v>0.3</v>
      </c>
      <c r="L42" s="8">
        <f>INDEX(Hedef!$C$17:$C$21,Kanit!L42+1)</f>
        <v>0.3</v>
      </c>
      <c r="M42" s="8">
        <f>INDEX(Hedef!$C$17:$C$21,Kanit!M42+1)</f>
        <v>0.3</v>
      </c>
      <c r="N42" s="8">
        <f>INDEX(Hedef!$C$17:$C$21,Kanit!N42+1)</f>
        <v>0.3</v>
      </c>
      <c r="O42" s="8">
        <f>INDEX(Hedef!$C$17:$C$21,Kanit!O42+1)</f>
        <v>0.3</v>
      </c>
      <c r="P42" s="8">
        <f>INDEX(Hedef!$C$17:$C$21,Kanit!P42+1)</f>
        <v>0.3</v>
      </c>
      <c r="Q42" s="8">
        <f>INDEX(Hedef!$C$17:$C$21,Kanit!Q42+1)</f>
        <v>0.3</v>
      </c>
      <c r="R42" s="8">
        <f>INDEX(Hedef!$C$17:$C$21,Kanit!R42+1)</f>
        <v>0.3</v>
      </c>
      <c r="S42" s="8">
        <f>INDEX(Hedef!$C$17:$C$21,Kanit!S42+1)</f>
        <v>0.3</v>
      </c>
      <c r="T42" s="8">
        <f>INDEX(Hedef!$C$17:$C$21,Kanit!T42+1)</f>
        <v>0.3</v>
      </c>
      <c r="U42" s="8">
        <f>INDEX(Hedef!$C$17:$C$21,Kanit!U42+1)</f>
        <v>0.5</v>
      </c>
      <c r="V42" s="8">
        <f>INDEX(Hedef!$C$17:$C$21,Kanit!V42+1)</f>
        <v>0.3</v>
      </c>
      <c r="W42" s="8">
        <f>INDEX(Hedef!$C$17:$C$21,Kanit!W42+1)</f>
        <v>0.3</v>
      </c>
      <c r="X42" s="8">
        <f>INDEX(Hedef!$C$17:$C$21,Kanit!X42+1)</f>
        <v>0.3</v>
      </c>
      <c r="Y42" s="8">
        <f>INDEX(Hedef!$C$17:$C$21,Kanit!Y42+1)</f>
        <v>0.5</v>
      </c>
      <c r="Z42" s="8">
        <f>INDEX(Hedef!$C$17:$C$21,Kanit!Z42+1)</f>
        <v>0.3</v>
      </c>
      <c r="AA42" s="8">
        <f>INDEX(Hedef!$C$17:$C$21,Kanit!AA42+1)</f>
        <v>0.3</v>
      </c>
      <c r="AB42" s="8">
        <f>INDEX(Hedef!$C$17:$C$21,Kanit!AB42+1)</f>
        <v>0.3</v>
      </c>
      <c r="AD42" s="8">
        <f>INDEX(Hedef!$C$17:$C$21,Kanit!AD42+1)</f>
        <v>0.5</v>
      </c>
      <c r="AE42" s="8">
        <f>INDEX(Hedef!$C$17:$C$21,Kanit!AE42+1)</f>
        <v>0.5</v>
      </c>
      <c r="AF42" s="8">
        <f>INDEX(Hedef!$C$17:$C$21,Kanit!AF42+1)</f>
        <v>0.3</v>
      </c>
      <c r="AG42" s="8">
        <f>INDEX(Hedef!$C$17:$C$21,Kanit!AG42+1)</f>
        <v>0.3</v>
      </c>
    </row>
    <row r="43">
      <c r="A43" s="7" t="str">
        <f>Secenekler!A43</f>
        <v>karar-kitabi-c</v>
      </c>
      <c r="B43" s="7" t="str">
        <f>Secenekler!C43</f>
        <v>Facilitatör için özgün karar memosu kiti</v>
      </c>
      <c r="C43" s="8">
        <f>INDEX(Hedef!$C$17:$C$21,Kanit!C43+1)</f>
        <v>0.3</v>
      </c>
      <c r="D43" s="8">
        <f>INDEX(Hedef!$C$17:$C$21,Kanit!D43+1)</f>
        <v>0.3</v>
      </c>
      <c r="E43" s="8">
        <f>INDEX(Hedef!$C$17:$C$21,Kanit!E43+1)</f>
        <v>0.3</v>
      </c>
      <c r="F43" s="8">
        <f>INDEX(Hedef!$C$17:$C$21,Kanit!F43+1)</f>
        <v>0.3</v>
      </c>
      <c r="G43" s="8">
        <f>INDEX(Hedef!$C$17:$C$21,Kanit!G43+1)</f>
        <v>0.3</v>
      </c>
      <c r="H43" s="8">
        <f>INDEX(Hedef!$C$17:$C$21,Kanit!H43+1)</f>
        <v>0.5</v>
      </c>
      <c r="I43" s="8">
        <f>INDEX(Hedef!$C$17:$C$21,Kanit!I43+1)</f>
        <v>0.3</v>
      </c>
      <c r="J43" s="8">
        <f>INDEX(Hedef!$C$17:$C$21,Kanit!J43+1)</f>
        <v>0.3</v>
      </c>
      <c r="K43" s="8">
        <f>INDEX(Hedef!$C$17:$C$21,Kanit!K43+1)</f>
        <v>0.3</v>
      </c>
      <c r="L43" s="8">
        <f>INDEX(Hedef!$C$17:$C$21,Kanit!L43+1)</f>
        <v>0.3</v>
      </c>
      <c r="M43" s="8">
        <f>INDEX(Hedef!$C$17:$C$21,Kanit!M43+1)</f>
        <v>0.3</v>
      </c>
      <c r="N43" s="8">
        <f>INDEX(Hedef!$C$17:$C$21,Kanit!N43+1)</f>
        <v>0.3</v>
      </c>
      <c r="O43" s="8">
        <f>INDEX(Hedef!$C$17:$C$21,Kanit!O43+1)</f>
        <v>0.3</v>
      </c>
      <c r="P43" s="8">
        <f>INDEX(Hedef!$C$17:$C$21,Kanit!P43+1)</f>
        <v>0.3</v>
      </c>
      <c r="Q43" s="8">
        <f>INDEX(Hedef!$C$17:$C$21,Kanit!Q43+1)</f>
        <v>0.3</v>
      </c>
      <c r="R43" s="8">
        <f>INDEX(Hedef!$C$17:$C$21,Kanit!R43+1)</f>
        <v>0.3</v>
      </c>
      <c r="S43" s="8">
        <f>INDEX(Hedef!$C$17:$C$21,Kanit!S43+1)</f>
        <v>0.3</v>
      </c>
      <c r="T43" s="8">
        <f>INDEX(Hedef!$C$17:$C$21,Kanit!T43+1)</f>
        <v>0.3</v>
      </c>
      <c r="U43" s="8">
        <f>INDEX(Hedef!$C$17:$C$21,Kanit!U43+1)</f>
        <v>0.3</v>
      </c>
      <c r="V43" s="8">
        <f>INDEX(Hedef!$C$17:$C$21,Kanit!V43+1)</f>
        <v>0.3</v>
      </c>
      <c r="W43" s="8">
        <f>INDEX(Hedef!$C$17:$C$21,Kanit!W43+1)</f>
        <v>0.3</v>
      </c>
      <c r="X43" s="8">
        <f>INDEX(Hedef!$C$17:$C$21,Kanit!X43+1)</f>
        <v>0.3</v>
      </c>
      <c r="Y43" s="8">
        <f>INDEX(Hedef!$C$17:$C$21,Kanit!Y43+1)</f>
        <v>0.3</v>
      </c>
      <c r="Z43" s="8">
        <f>INDEX(Hedef!$C$17:$C$21,Kanit!Z43+1)</f>
        <v>0.3</v>
      </c>
      <c r="AA43" s="8">
        <f>INDEX(Hedef!$C$17:$C$21,Kanit!AA43+1)</f>
        <v>0.3</v>
      </c>
      <c r="AB43" s="8">
        <f>INDEX(Hedef!$C$17:$C$21,Kanit!AB43+1)</f>
        <v>0.3</v>
      </c>
      <c r="AD43" s="8">
        <f>INDEX(Hedef!$C$17:$C$21,Kanit!AD43+1)</f>
        <v>0.3</v>
      </c>
      <c r="AE43" s="8">
        <f>INDEX(Hedef!$C$17:$C$21,Kanit!AE43+1)</f>
        <v>0.5</v>
      </c>
      <c r="AF43" s="8">
        <f>INDEX(Hedef!$C$17:$C$21,Kanit!AF43+1)</f>
        <v>0.3</v>
      </c>
      <c r="AG43" s="8">
        <f>INDEX(Hedef!$C$17:$C$21,Kanit!AG43+1)</f>
        <v>0.3</v>
      </c>
    </row>
    <row r="44">
      <c r="A44" s="7" t="str">
        <f>Secenekler!A44</f>
        <v>kurucu-sunum-hizmeti-a</v>
      </c>
      <c r="B44" s="7" t="str">
        <f>Secenekler!C44</f>
        <v>Hibe ve yatırım sunum paketi: site, canlı model, doğrulama</v>
      </c>
      <c r="C44" s="8">
        <f>INDEX(Hedef!$C$17:$C$21,Kanit!C44+1)</f>
        <v>0.5</v>
      </c>
      <c r="D44" s="8">
        <f>INDEX(Hedef!$C$17:$C$21,Kanit!D44+1)</f>
        <v>0.5</v>
      </c>
      <c r="E44" s="8">
        <f>INDEX(Hedef!$C$17:$C$21,Kanit!E44+1)</f>
        <v>0.5</v>
      </c>
      <c r="F44" s="8">
        <f>INDEX(Hedef!$C$17:$C$21,Kanit!F44+1)</f>
        <v>0.5</v>
      </c>
      <c r="G44" s="8">
        <f>INDEX(Hedef!$C$17:$C$21,Kanit!G44+1)</f>
        <v>0.3</v>
      </c>
      <c r="H44" s="8">
        <f>INDEX(Hedef!$C$17:$C$21,Kanit!H44+1)</f>
        <v>0.5</v>
      </c>
      <c r="I44" s="8">
        <f>INDEX(Hedef!$C$17:$C$21,Kanit!I44+1)</f>
        <v>0.5</v>
      </c>
      <c r="J44" s="8">
        <f>INDEX(Hedef!$C$17:$C$21,Kanit!J44+1)</f>
        <v>0.3</v>
      </c>
      <c r="K44" s="8">
        <f>INDEX(Hedef!$C$17:$C$21,Kanit!K44+1)</f>
        <v>0.3</v>
      </c>
      <c r="L44" s="8">
        <f>INDEX(Hedef!$C$17:$C$21,Kanit!L44+1)</f>
        <v>0.3</v>
      </c>
      <c r="M44" s="8">
        <f>INDEX(Hedef!$C$17:$C$21,Kanit!M44+1)</f>
        <v>0.5</v>
      </c>
      <c r="N44" s="8">
        <f>INDEX(Hedef!$C$17:$C$21,Kanit!N44+1)</f>
        <v>0.3</v>
      </c>
      <c r="O44" s="8">
        <f>INDEX(Hedef!$C$17:$C$21,Kanit!O44+1)</f>
        <v>0.3</v>
      </c>
      <c r="P44" s="8">
        <f>INDEX(Hedef!$C$17:$C$21,Kanit!P44+1)</f>
        <v>0.3</v>
      </c>
      <c r="Q44" s="8">
        <f>INDEX(Hedef!$C$17:$C$21,Kanit!Q44+1)</f>
        <v>0.3</v>
      </c>
      <c r="R44" s="8">
        <f>INDEX(Hedef!$C$17:$C$21,Kanit!R44+1)</f>
        <v>0.3</v>
      </c>
      <c r="S44" s="8">
        <f>INDEX(Hedef!$C$17:$C$21,Kanit!S44+1)</f>
        <v>0.3</v>
      </c>
      <c r="T44" s="8">
        <f>INDEX(Hedef!$C$17:$C$21,Kanit!T44+1)</f>
        <v>0.3</v>
      </c>
      <c r="U44" s="8">
        <f>INDEX(Hedef!$C$17:$C$21,Kanit!U44+1)</f>
        <v>0.3</v>
      </c>
      <c r="V44" s="8">
        <f>INDEX(Hedef!$C$17:$C$21,Kanit!V44+1)</f>
        <v>0.3</v>
      </c>
      <c r="W44" s="8">
        <f>INDEX(Hedef!$C$17:$C$21,Kanit!W44+1)</f>
        <v>0.3</v>
      </c>
      <c r="X44" s="8">
        <f>INDEX(Hedef!$C$17:$C$21,Kanit!X44+1)</f>
        <v>0.3</v>
      </c>
      <c r="Y44" s="8">
        <f>INDEX(Hedef!$C$17:$C$21,Kanit!Y44+1)</f>
        <v>0.5</v>
      </c>
      <c r="Z44" s="8">
        <f>INDEX(Hedef!$C$17:$C$21,Kanit!Z44+1)</f>
        <v>0.3</v>
      </c>
      <c r="AA44" s="8">
        <f>INDEX(Hedef!$C$17:$C$21,Kanit!AA44+1)</f>
        <v>0.3</v>
      </c>
      <c r="AB44" s="8">
        <f>INDEX(Hedef!$C$17:$C$21,Kanit!AB44+1)</f>
        <v>0.3</v>
      </c>
      <c r="AD44" s="8">
        <f>INDEX(Hedef!$C$17:$C$21,Kanit!AD44+1)</f>
        <v>0.5</v>
      </c>
      <c r="AE44" s="8">
        <f>INDEX(Hedef!$C$17:$C$21,Kanit!AE44+1)</f>
        <v>0.3</v>
      </c>
      <c r="AF44" s="8">
        <f>INDEX(Hedef!$C$17:$C$21,Kanit!AF44+1)</f>
        <v>0.3</v>
      </c>
      <c r="AG44" s="8">
        <f>INDEX(Hedef!$C$17:$C$21,Kanit!AG44+1)</f>
        <v>0.3</v>
      </c>
    </row>
    <row r="45">
      <c r="A45" s="7" t="str">
        <f>Secenekler!A45</f>
        <v>kurucu-sunum-hizmeti-b</v>
      </c>
      <c r="B45" s="7" t="str">
        <f>Secenekler!C45</f>
        <v>Rakam tutarlılığı denetimi: tek dosya, sabit fiyat</v>
      </c>
      <c r="C45" s="8">
        <f>INDEX(Hedef!$C$17:$C$21,Kanit!C45+1)</f>
        <v>0.5</v>
      </c>
      <c r="D45" s="8">
        <f>INDEX(Hedef!$C$17:$C$21,Kanit!D45+1)</f>
        <v>0.5</v>
      </c>
      <c r="E45" s="8">
        <f>INDEX(Hedef!$C$17:$C$21,Kanit!E45+1)</f>
        <v>0.3</v>
      </c>
      <c r="F45" s="8">
        <f>INDEX(Hedef!$C$17:$C$21,Kanit!F45+1)</f>
        <v>0.5</v>
      </c>
      <c r="G45" s="8">
        <f>INDEX(Hedef!$C$17:$C$21,Kanit!G45+1)</f>
        <v>0.3</v>
      </c>
      <c r="H45" s="8">
        <f>INDEX(Hedef!$C$17:$C$21,Kanit!H45+1)</f>
        <v>0.5</v>
      </c>
      <c r="I45" s="8">
        <f>INDEX(Hedef!$C$17:$C$21,Kanit!I45+1)</f>
        <v>0.5</v>
      </c>
      <c r="J45" s="8">
        <f>INDEX(Hedef!$C$17:$C$21,Kanit!J45+1)</f>
        <v>0.3</v>
      </c>
      <c r="K45" s="8">
        <f>INDEX(Hedef!$C$17:$C$21,Kanit!K45+1)</f>
        <v>0.3</v>
      </c>
      <c r="L45" s="8">
        <f>INDEX(Hedef!$C$17:$C$21,Kanit!L45+1)</f>
        <v>0.3</v>
      </c>
      <c r="M45" s="8">
        <f>INDEX(Hedef!$C$17:$C$21,Kanit!M45+1)</f>
        <v>0.5</v>
      </c>
      <c r="N45" s="8">
        <f>INDEX(Hedef!$C$17:$C$21,Kanit!N45+1)</f>
        <v>0.3</v>
      </c>
      <c r="O45" s="8">
        <f>INDEX(Hedef!$C$17:$C$21,Kanit!O45+1)</f>
        <v>0.3</v>
      </c>
      <c r="P45" s="8">
        <f>INDEX(Hedef!$C$17:$C$21,Kanit!P45+1)</f>
        <v>0.3</v>
      </c>
      <c r="Q45" s="8">
        <f>INDEX(Hedef!$C$17:$C$21,Kanit!Q45+1)</f>
        <v>0.3</v>
      </c>
      <c r="R45" s="8">
        <f>INDEX(Hedef!$C$17:$C$21,Kanit!R45+1)</f>
        <v>0.3</v>
      </c>
      <c r="S45" s="8">
        <f>INDEX(Hedef!$C$17:$C$21,Kanit!S45+1)</f>
        <v>0.3</v>
      </c>
      <c r="T45" s="8">
        <f>INDEX(Hedef!$C$17:$C$21,Kanit!T45+1)</f>
        <v>0.3</v>
      </c>
      <c r="U45" s="8">
        <f>INDEX(Hedef!$C$17:$C$21,Kanit!U45+1)</f>
        <v>0.3</v>
      </c>
      <c r="V45" s="8">
        <f>INDEX(Hedef!$C$17:$C$21,Kanit!V45+1)</f>
        <v>0.3</v>
      </c>
      <c r="W45" s="8">
        <f>INDEX(Hedef!$C$17:$C$21,Kanit!W45+1)</f>
        <v>0.3</v>
      </c>
      <c r="X45" s="8">
        <f>INDEX(Hedef!$C$17:$C$21,Kanit!X45+1)</f>
        <v>0.3</v>
      </c>
      <c r="Y45" s="8">
        <f>INDEX(Hedef!$C$17:$C$21,Kanit!Y45+1)</f>
        <v>0.5</v>
      </c>
      <c r="Z45" s="8">
        <f>INDEX(Hedef!$C$17:$C$21,Kanit!Z45+1)</f>
        <v>0.3</v>
      </c>
      <c r="AA45" s="8">
        <f>INDEX(Hedef!$C$17:$C$21,Kanit!AA45+1)</f>
        <v>0.3</v>
      </c>
      <c r="AB45" s="8">
        <f>INDEX(Hedef!$C$17:$C$21,Kanit!AB45+1)</f>
        <v>0.3</v>
      </c>
      <c r="AD45" s="8">
        <f>INDEX(Hedef!$C$17:$C$21,Kanit!AD45+1)</f>
        <v>0.5</v>
      </c>
      <c r="AE45" s="8">
        <f>INDEX(Hedef!$C$17:$C$21,Kanit!AE45+1)</f>
        <v>0.3</v>
      </c>
      <c r="AF45" s="8">
        <f>INDEX(Hedef!$C$17:$C$21,Kanit!AF45+1)</f>
        <v>0.3</v>
      </c>
      <c r="AG45" s="8">
        <f>INDEX(Hedef!$C$17:$C$21,Kanit!AG45+1)</f>
        <v>0.3</v>
      </c>
    </row>
    <row r="46">
      <c r="A46" s="7" t="str">
        <f>Secenekler!A46</f>
        <v>kurucu-sunum-hizmeti-c</v>
      </c>
      <c r="B46" s="7" t="str">
        <f>Secenekler!C46</f>
        <v>Kuluçka ve TTO yıllık lisansı: şablon, doğrulayıcı, eğitim</v>
      </c>
      <c r="C46" s="8">
        <f>INDEX(Hedef!$C$17:$C$21,Kanit!C46+1)</f>
        <v>0.3</v>
      </c>
      <c r="D46" s="8">
        <f>INDEX(Hedef!$C$17:$C$21,Kanit!D46+1)</f>
        <v>0.5</v>
      </c>
      <c r="E46" s="8">
        <f>INDEX(Hedef!$C$17:$C$21,Kanit!E46+1)</f>
        <v>0.3</v>
      </c>
      <c r="F46" s="8">
        <f>INDEX(Hedef!$C$17:$C$21,Kanit!F46+1)</f>
        <v>0.3</v>
      </c>
      <c r="G46" s="8">
        <f>INDEX(Hedef!$C$17:$C$21,Kanit!G46+1)</f>
        <v>0.3</v>
      </c>
      <c r="H46" s="8">
        <f>INDEX(Hedef!$C$17:$C$21,Kanit!H46+1)</f>
        <v>0.3</v>
      </c>
      <c r="I46" s="8">
        <f>INDEX(Hedef!$C$17:$C$21,Kanit!I46+1)</f>
        <v>0.5</v>
      </c>
      <c r="J46" s="8">
        <f>INDEX(Hedef!$C$17:$C$21,Kanit!J46+1)</f>
        <v>0.3</v>
      </c>
      <c r="K46" s="8">
        <f>INDEX(Hedef!$C$17:$C$21,Kanit!K46+1)</f>
        <v>0.3</v>
      </c>
      <c r="L46" s="8">
        <f>INDEX(Hedef!$C$17:$C$21,Kanit!L46+1)</f>
        <v>0.3</v>
      </c>
      <c r="M46" s="8">
        <f>INDEX(Hedef!$C$17:$C$21,Kanit!M46+1)</f>
        <v>0.5</v>
      </c>
      <c r="N46" s="8">
        <f>INDEX(Hedef!$C$17:$C$21,Kanit!N46+1)</f>
        <v>0.3</v>
      </c>
      <c r="O46" s="8">
        <f>INDEX(Hedef!$C$17:$C$21,Kanit!O46+1)</f>
        <v>0.3</v>
      </c>
      <c r="P46" s="8">
        <f>INDEX(Hedef!$C$17:$C$21,Kanit!P46+1)</f>
        <v>0.3</v>
      </c>
      <c r="Q46" s="8">
        <f>INDEX(Hedef!$C$17:$C$21,Kanit!Q46+1)</f>
        <v>0.3</v>
      </c>
      <c r="R46" s="8">
        <f>INDEX(Hedef!$C$17:$C$21,Kanit!R46+1)</f>
        <v>0.3</v>
      </c>
      <c r="S46" s="8">
        <f>INDEX(Hedef!$C$17:$C$21,Kanit!S46+1)</f>
        <v>0.3</v>
      </c>
      <c r="T46" s="8">
        <f>INDEX(Hedef!$C$17:$C$21,Kanit!T46+1)</f>
        <v>0.3</v>
      </c>
      <c r="U46" s="8">
        <f>INDEX(Hedef!$C$17:$C$21,Kanit!U46+1)</f>
        <v>0.3</v>
      </c>
      <c r="V46" s="8">
        <f>INDEX(Hedef!$C$17:$C$21,Kanit!V46+1)</f>
        <v>0.3</v>
      </c>
      <c r="W46" s="8">
        <f>INDEX(Hedef!$C$17:$C$21,Kanit!W46+1)</f>
        <v>0.3</v>
      </c>
      <c r="X46" s="8">
        <f>INDEX(Hedef!$C$17:$C$21,Kanit!X46+1)</f>
        <v>0.3</v>
      </c>
      <c r="Y46" s="8">
        <f>INDEX(Hedef!$C$17:$C$21,Kanit!Y46+1)</f>
        <v>0.5</v>
      </c>
      <c r="Z46" s="8">
        <f>INDEX(Hedef!$C$17:$C$21,Kanit!Z46+1)</f>
        <v>0.3</v>
      </c>
      <c r="AA46" s="8">
        <f>INDEX(Hedef!$C$17:$C$21,Kanit!AA46+1)</f>
        <v>0.3</v>
      </c>
      <c r="AB46" s="8">
        <f>INDEX(Hedef!$C$17:$C$21,Kanit!AB46+1)</f>
        <v>0.3</v>
      </c>
      <c r="AD46" s="8">
        <f>INDEX(Hedef!$C$17:$C$21,Kanit!AD46+1)</f>
        <v>0.5</v>
      </c>
      <c r="AE46" s="8">
        <f>INDEX(Hedef!$C$17:$C$21,Kanit!AE46+1)</f>
        <v>0.3</v>
      </c>
      <c r="AF46" s="8">
        <f>INDEX(Hedef!$C$17:$C$21,Kanit!AF46+1)</f>
        <v>0.3</v>
      </c>
      <c r="AG46" s="8">
        <f>INDEX(Hedef!$C$17:$C$21,Kanit!AG46+1)</f>
        <v>0.3</v>
      </c>
    </row>
    <row r="47">
      <c r="A47" s="7" t="str">
        <f>Secenekler!A47</f>
        <v>vize-operasyon-a</v>
      </c>
      <c r="B47" s="7" t="str">
        <f>Secenekler!C47</f>
        <v>Acente paneli: 90 günlük pilot, sonra abonelik</v>
      </c>
      <c r="C47" s="8">
        <f>INDEX(Hedef!$C$17:$C$21,Kanit!C47+1)</f>
        <v>0.5</v>
      </c>
      <c r="D47" s="8">
        <f>INDEX(Hedef!$C$17:$C$21,Kanit!D47+1)</f>
        <v>0.3</v>
      </c>
      <c r="E47" s="8">
        <f>INDEX(Hedef!$C$17:$C$21,Kanit!E47+1)</f>
        <v>0.5</v>
      </c>
      <c r="F47" s="8">
        <f>INDEX(Hedef!$C$17:$C$21,Kanit!F47+1)</f>
        <v>0.5</v>
      </c>
      <c r="G47" s="8">
        <f>INDEX(Hedef!$C$17:$C$21,Kanit!G47+1)</f>
        <v>0.3</v>
      </c>
      <c r="H47" s="8">
        <f>INDEX(Hedef!$C$17:$C$21,Kanit!H47+1)</f>
        <v>0.3</v>
      </c>
      <c r="I47" s="8">
        <f>INDEX(Hedef!$C$17:$C$21,Kanit!I47+1)</f>
        <v>0.5</v>
      </c>
      <c r="J47" s="8">
        <f>INDEX(Hedef!$C$17:$C$21,Kanit!J47+1)</f>
        <v>0.3</v>
      </c>
      <c r="K47" s="8">
        <f>INDEX(Hedef!$C$17:$C$21,Kanit!K47+1)</f>
        <v>0.3</v>
      </c>
      <c r="L47" s="8">
        <f>INDEX(Hedef!$C$17:$C$21,Kanit!L47+1)</f>
        <v>0.3</v>
      </c>
      <c r="M47" s="8">
        <f>INDEX(Hedef!$C$17:$C$21,Kanit!M47+1)</f>
        <v>0.5</v>
      </c>
      <c r="N47" s="8">
        <f>INDEX(Hedef!$C$17:$C$21,Kanit!N47+1)</f>
        <v>0.3</v>
      </c>
      <c r="O47" s="8">
        <f>INDEX(Hedef!$C$17:$C$21,Kanit!O47+1)</f>
        <v>0.3</v>
      </c>
      <c r="P47" s="8">
        <f>INDEX(Hedef!$C$17:$C$21,Kanit!P47+1)</f>
        <v>0.5</v>
      </c>
      <c r="Q47" s="8">
        <f>INDEX(Hedef!$C$17:$C$21,Kanit!Q47+1)</f>
        <v>0.3</v>
      </c>
      <c r="R47" s="8">
        <f>INDEX(Hedef!$C$17:$C$21,Kanit!R47+1)</f>
        <v>0.3</v>
      </c>
      <c r="S47" s="8">
        <f>INDEX(Hedef!$C$17:$C$21,Kanit!S47+1)</f>
        <v>0.3</v>
      </c>
      <c r="T47" s="8">
        <f>INDEX(Hedef!$C$17:$C$21,Kanit!T47+1)</f>
        <v>0.3</v>
      </c>
      <c r="U47" s="8">
        <f>INDEX(Hedef!$C$17:$C$21,Kanit!U47+1)</f>
        <v>0.5</v>
      </c>
      <c r="V47" s="8">
        <f>INDEX(Hedef!$C$17:$C$21,Kanit!V47+1)</f>
        <v>0.3</v>
      </c>
      <c r="W47" s="8">
        <f>INDEX(Hedef!$C$17:$C$21,Kanit!W47+1)</f>
        <v>0.3</v>
      </c>
      <c r="X47" s="8">
        <f>INDEX(Hedef!$C$17:$C$21,Kanit!X47+1)</f>
        <v>0.3</v>
      </c>
      <c r="Y47" s="8">
        <f>INDEX(Hedef!$C$17:$C$21,Kanit!Y47+1)</f>
        <v>0.5</v>
      </c>
      <c r="Z47" s="8">
        <f>INDEX(Hedef!$C$17:$C$21,Kanit!Z47+1)</f>
        <v>0.3</v>
      </c>
      <c r="AA47" s="8">
        <f>INDEX(Hedef!$C$17:$C$21,Kanit!AA47+1)</f>
        <v>0.3</v>
      </c>
      <c r="AB47" s="8">
        <f>INDEX(Hedef!$C$17:$C$21,Kanit!AB47+1)</f>
        <v>0.3</v>
      </c>
      <c r="AD47" s="8">
        <f>INDEX(Hedef!$C$17:$C$21,Kanit!AD47+1)</f>
        <v>0.5</v>
      </c>
      <c r="AE47" s="8">
        <f>INDEX(Hedef!$C$17:$C$21,Kanit!AE47+1)</f>
        <v>0.5</v>
      </c>
      <c r="AF47" s="8">
        <f>INDEX(Hedef!$C$17:$C$21,Kanit!AF47+1)</f>
        <v>0.3</v>
      </c>
      <c r="AG47" s="8">
        <f>INDEX(Hedef!$C$17:$C$21,Kanit!AG47+1)</f>
        <v>0.3</v>
      </c>
    </row>
    <row r="48">
      <c r="A48" s="7" t="str">
        <f>Secenekler!A48</f>
        <v>vize-operasyon-b</v>
      </c>
      <c r="B48" s="7" t="str">
        <f>Secenekler!C48</f>
        <v>Acente Sheet doğrulama ve eksik belge kuyruğu (ücretli pilot)</v>
      </c>
      <c r="C48" s="8">
        <f>INDEX(Hedef!$C$17:$C$21,Kanit!C48+1)</f>
        <v>0.5</v>
      </c>
      <c r="D48" s="8">
        <f>INDEX(Hedef!$C$17:$C$21,Kanit!D48+1)</f>
        <v>0.3</v>
      </c>
      <c r="E48" s="8">
        <f>INDEX(Hedef!$C$17:$C$21,Kanit!E48+1)</f>
        <v>0.3</v>
      </c>
      <c r="F48" s="8">
        <f>INDEX(Hedef!$C$17:$C$21,Kanit!F48+1)</f>
        <v>0.3</v>
      </c>
      <c r="G48" s="8">
        <f>INDEX(Hedef!$C$17:$C$21,Kanit!G48+1)</f>
        <v>0.3</v>
      </c>
      <c r="H48" s="8">
        <f>INDEX(Hedef!$C$17:$C$21,Kanit!H48+1)</f>
        <v>0.3</v>
      </c>
      <c r="I48" s="8">
        <f>INDEX(Hedef!$C$17:$C$21,Kanit!I48+1)</f>
        <v>0.3</v>
      </c>
      <c r="J48" s="8">
        <f>INDEX(Hedef!$C$17:$C$21,Kanit!J48+1)</f>
        <v>0.3</v>
      </c>
      <c r="K48" s="8">
        <f>INDEX(Hedef!$C$17:$C$21,Kanit!K48+1)</f>
        <v>0.3</v>
      </c>
      <c r="L48" s="8">
        <f>INDEX(Hedef!$C$17:$C$21,Kanit!L48+1)</f>
        <v>0.3</v>
      </c>
      <c r="M48" s="8">
        <f>INDEX(Hedef!$C$17:$C$21,Kanit!M48+1)</f>
        <v>0.5</v>
      </c>
      <c r="N48" s="8">
        <f>INDEX(Hedef!$C$17:$C$21,Kanit!N48+1)</f>
        <v>0.3</v>
      </c>
      <c r="O48" s="8">
        <f>INDEX(Hedef!$C$17:$C$21,Kanit!O48+1)</f>
        <v>0.3</v>
      </c>
      <c r="P48" s="8">
        <f>INDEX(Hedef!$C$17:$C$21,Kanit!P48+1)</f>
        <v>0.5</v>
      </c>
      <c r="Q48" s="8">
        <f>INDEX(Hedef!$C$17:$C$21,Kanit!Q48+1)</f>
        <v>0.3</v>
      </c>
      <c r="R48" s="8">
        <f>INDEX(Hedef!$C$17:$C$21,Kanit!R48+1)</f>
        <v>0.3</v>
      </c>
      <c r="S48" s="8">
        <f>INDEX(Hedef!$C$17:$C$21,Kanit!S48+1)</f>
        <v>0.3</v>
      </c>
      <c r="T48" s="8">
        <f>INDEX(Hedef!$C$17:$C$21,Kanit!T48+1)</f>
        <v>0.3</v>
      </c>
      <c r="U48" s="8">
        <f>INDEX(Hedef!$C$17:$C$21,Kanit!U48+1)</f>
        <v>0.5</v>
      </c>
      <c r="V48" s="8">
        <f>INDEX(Hedef!$C$17:$C$21,Kanit!V48+1)</f>
        <v>0.3</v>
      </c>
      <c r="W48" s="8">
        <f>INDEX(Hedef!$C$17:$C$21,Kanit!W48+1)</f>
        <v>0.3</v>
      </c>
      <c r="X48" s="8">
        <f>INDEX(Hedef!$C$17:$C$21,Kanit!X48+1)</f>
        <v>0.3</v>
      </c>
      <c r="Y48" s="8">
        <f>INDEX(Hedef!$C$17:$C$21,Kanit!Y48+1)</f>
        <v>0.5</v>
      </c>
      <c r="Z48" s="8">
        <f>INDEX(Hedef!$C$17:$C$21,Kanit!Z48+1)</f>
        <v>0.3</v>
      </c>
      <c r="AA48" s="8">
        <f>INDEX(Hedef!$C$17:$C$21,Kanit!AA48+1)</f>
        <v>0.5</v>
      </c>
      <c r="AB48" s="8">
        <f>INDEX(Hedef!$C$17:$C$21,Kanit!AB48+1)</f>
        <v>0.3</v>
      </c>
      <c r="AD48" s="8">
        <f>INDEX(Hedef!$C$17:$C$21,Kanit!AD48+1)</f>
        <v>0.5</v>
      </c>
      <c r="AE48" s="8">
        <f>INDEX(Hedef!$C$17:$C$21,Kanit!AE48+1)</f>
        <v>0.3</v>
      </c>
      <c r="AF48" s="8">
        <f>INDEX(Hedef!$C$17:$C$21,Kanit!AF48+1)</f>
        <v>0.3</v>
      </c>
      <c r="AG48" s="8">
        <f>INDEX(Hedef!$C$17:$C$21,Kanit!AG48+1)</f>
        <v>0.3</v>
      </c>
    </row>
    <row r="49">
      <c r="A49" s="7" t="str">
        <f>Secenekler!A49</f>
        <v>vize-operasyon-c</v>
      </c>
      <c r="B49" s="7" t="str">
        <f>Secenekler!C49</f>
        <v>Başvurucu evrak kontrolü: 299/599 ₺ rapor, SEO ile</v>
      </c>
      <c r="C49" s="8">
        <f>INDEX(Hedef!$C$17:$C$21,Kanit!C49+1)</f>
        <v>0.5</v>
      </c>
      <c r="D49" s="8">
        <f>INDEX(Hedef!$C$17:$C$21,Kanit!D49+1)</f>
        <v>0.3</v>
      </c>
      <c r="E49" s="8">
        <f>INDEX(Hedef!$C$17:$C$21,Kanit!E49+1)</f>
        <v>0.5</v>
      </c>
      <c r="F49" s="8">
        <f>INDEX(Hedef!$C$17:$C$21,Kanit!F49+1)</f>
        <v>0.5</v>
      </c>
      <c r="G49" s="8">
        <f>INDEX(Hedef!$C$17:$C$21,Kanit!G49+1)</f>
        <v>0.3</v>
      </c>
      <c r="H49" s="8">
        <f>INDEX(Hedef!$C$17:$C$21,Kanit!H49+1)</f>
        <v>0.3</v>
      </c>
      <c r="I49" s="8">
        <f>INDEX(Hedef!$C$17:$C$21,Kanit!I49+1)</f>
        <v>0.3</v>
      </c>
      <c r="J49" s="8">
        <f>INDEX(Hedef!$C$17:$C$21,Kanit!J49+1)</f>
        <v>0.5</v>
      </c>
      <c r="K49" s="8">
        <f>INDEX(Hedef!$C$17:$C$21,Kanit!K49+1)</f>
        <v>0.3</v>
      </c>
      <c r="L49" s="8">
        <f>INDEX(Hedef!$C$17:$C$21,Kanit!L49+1)</f>
        <v>0.3</v>
      </c>
      <c r="M49" s="8">
        <f>INDEX(Hedef!$C$17:$C$21,Kanit!M49+1)</f>
        <v>0.3</v>
      </c>
      <c r="N49" s="8">
        <f>INDEX(Hedef!$C$17:$C$21,Kanit!N49+1)</f>
        <v>0.3</v>
      </c>
      <c r="O49" s="8">
        <f>INDEX(Hedef!$C$17:$C$21,Kanit!O49+1)</f>
        <v>0.3</v>
      </c>
      <c r="P49" s="8">
        <f>INDEX(Hedef!$C$17:$C$21,Kanit!P49+1)</f>
        <v>0.3</v>
      </c>
      <c r="Q49" s="8">
        <f>INDEX(Hedef!$C$17:$C$21,Kanit!Q49+1)</f>
        <v>0.3</v>
      </c>
      <c r="R49" s="8">
        <f>INDEX(Hedef!$C$17:$C$21,Kanit!R49+1)</f>
        <v>0.3</v>
      </c>
      <c r="S49" s="8">
        <f>INDEX(Hedef!$C$17:$C$21,Kanit!S49+1)</f>
        <v>0.3</v>
      </c>
      <c r="T49" s="8">
        <f>INDEX(Hedef!$C$17:$C$21,Kanit!T49+1)</f>
        <v>0.3</v>
      </c>
      <c r="U49" s="8">
        <f>INDEX(Hedef!$C$17:$C$21,Kanit!U49+1)</f>
        <v>0.5</v>
      </c>
      <c r="V49" s="8">
        <f>INDEX(Hedef!$C$17:$C$21,Kanit!V49+1)</f>
        <v>0.3</v>
      </c>
      <c r="W49" s="8">
        <f>INDEX(Hedef!$C$17:$C$21,Kanit!W49+1)</f>
        <v>0.3</v>
      </c>
      <c r="X49" s="8">
        <f>INDEX(Hedef!$C$17:$C$21,Kanit!X49+1)</f>
        <v>0.3</v>
      </c>
      <c r="Y49" s="8">
        <f>INDEX(Hedef!$C$17:$C$21,Kanit!Y49+1)</f>
        <v>0.5</v>
      </c>
      <c r="Z49" s="8">
        <f>INDEX(Hedef!$C$17:$C$21,Kanit!Z49+1)</f>
        <v>0.3</v>
      </c>
      <c r="AA49" s="8">
        <f>INDEX(Hedef!$C$17:$C$21,Kanit!AA49+1)</f>
        <v>0.5</v>
      </c>
      <c r="AB49" s="8">
        <f>INDEX(Hedef!$C$17:$C$21,Kanit!AB49+1)</f>
        <v>0.3</v>
      </c>
      <c r="AD49" s="8">
        <f>INDEX(Hedef!$C$17:$C$21,Kanit!AD49+1)</f>
        <v>0.5</v>
      </c>
      <c r="AE49" s="8">
        <f>INDEX(Hedef!$C$17:$C$21,Kanit!AE49+1)</f>
        <v>0.5</v>
      </c>
      <c r="AF49" s="8">
        <f>INDEX(Hedef!$C$17:$C$21,Kanit!AF49+1)</f>
        <v>0.3</v>
      </c>
      <c r="AG49" s="8">
        <f>INDEX(Hedef!$C$17:$C$21,Kanit!AG49+1)</f>
        <v>0.3</v>
      </c>
    </row>
    <row r="50">
      <c r="A50" s="7" t="str">
        <f>Secenekler!A50</f>
        <v>software-factory-a</v>
      </c>
      <c r="B50" s="7" t="str">
        <f>Secenekler!C50</f>
        <v>Sabit fiyatlı kanıtlı MVP paketi (S/M/L)</v>
      </c>
      <c r="C50" s="8">
        <f>INDEX(Hedef!$C$17:$C$21,Kanit!C50+1)</f>
        <v>0.5</v>
      </c>
      <c r="D50" s="8">
        <f>INDEX(Hedef!$C$17:$C$21,Kanit!D50+1)</f>
        <v>0.3</v>
      </c>
      <c r="E50" s="8">
        <f>INDEX(Hedef!$C$17:$C$21,Kanit!E50+1)</f>
        <v>0.5</v>
      </c>
      <c r="F50" s="8">
        <f>INDEX(Hedef!$C$17:$C$21,Kanit!F50+1)</f>
        <v>0.5</v>
      </c>
      <c r="G50" s="8">
        <f>INDEX(Hedef!$C$17:$C$21,Kanit!G50+1)</f>
        <v>0.3</v>
      </c>
      <c r="H50" s="8">
        <f>INDEX(Hedef!$C$17:$C$21,Kanit!H50+1)</f>
        <v>0.5</v>
      </c>
      <c r="I50" s="8">
        <f>INDEX(Hedef!$C$17:$C$21,Kanit!I50+1)</f>
        <v>0.3</v>
      </c>
      <c r="J50" s="8">
        <f>INDEX(Hedef!$C$17:$C$21,Kanit!J50+1)</f>
        <v>0.5</v>
      </c>
      <c r="K50" s="8">
        <f>INDEX(Hedef!$C$17:$C$21,Kanit!K50+1)</f>
        <v>0.3</v>
      </c>
      <c r="L50" s="8">
        <f>INDEX(Hedef!$C$17:$C$21,Kanit!L50+1)</f>
        <v>0.3</v>
      </c>
      <c r="M50" s="8">
        <f>INDEX(Hedef!$C$17:$C$21,Kanit!M50+1)</f>
        <v>0.5</v>
      </c>
      <c r="N50" s="8">
        <f>INDEX(Hedef!$C$17:$C$21,Kanit!N50+1)</f>
        <v>0.3</v>
      </c>
      <c r="O50" s="8">
        <f>INDEX(Hedef!$C$17:$C$21,Kanit!O50+1)</f>
        <v>0.3</v>
      </c>
      <c r="P50" s="8">
        <f>INDEX(Hedef!$C$17:$C$21,Kanit!P50+1)</f>
        <v>0.3</v>
      </c>
      <c r="Q50" s="8">
        <f>INDEX(Hedef!$C$17:$C$21,Kanit!Q50+1)</f>
        <v>0.3</v>
      </c>
      <c r="R50" s="8">
        <f>INDEX(Hedef!$C$17:$C$21,Kanit!R50+1)</f>
        <v>0.3</v>
      </c>
      <c r="S50" s="8">
        <f>INDEX(Hedef!$C$17:$C$21,Kanit!S50+1)</f>
        <v>0.3</v>
      </c>
      <c r="T50" s="8">
        <f>INDEX(Hedef!$C$17:$C$21,Kanit!T50+1)</f>
        <v>0.3</v>
      </c>
      <c r="U50" s="8">
        <f>INDEX(Hedef!$C$17:$C$21,Kanit!U50+1)</f>
        <v>0.5</v>
      </c>
      <c r="V50" s="8">
        <f>INDEX(Hedef!$C$17:$C$21,Kanit!V50+1)</f>
        <v>0.3</v>
      </c>
      <c r="W50" s="8">
        <f>INDEX(Hedef!$C$17:$C$21,Kanit!W50+1)</f>
        <v>0.3</v>
      </c>
      <c r="X50" s="8">
        <f>INDEX(Hedef!$C$17:$C$21,Kanit!X50+1)</f>
        <v>0.5</v>
      </c>
      <c r="Y50" s="8">
        <f>INDEX(Hedef!$C$17:$C$21,Kanit!Y50+1)</f>
        <v>0.5</v>
      </c>
      <c r="Z50" s="8">
        <f>INDEX(Hedef!$C$17:$C$21,Kanit!Z50+1)</f>
        <v>0.5</v>
      </c>
      <c r="AA50" s="8">
        <f>INDEX(Hedef!$C$17:$C$21,Kanit!AA50+1)</f>
        <v>0.3</v>
      </c>
      <c r="AB50" s="8">
        <f>INDEX(Hedef!$C$17:$C$21,Kanit!AB50+1)</f>
        <v>0.3</v>
      </c>
      <c r="AD50" s="8">
        <f>INDEX(Hedef!$C$17:$C$21,Kanit!AD50+1)</f>
        <v>0.5</v>
      </c>
      <c r="AE50" s="8">
        <f>INDEX(Hedef!$C$17:$C$21,Kanit!AE50+1)</f>
        <v>0.3</v>
      </c>
      <c r="AF50" s="8">
        <f>INDEX(Hedef!$C$17:$C$21,Kanit!AF50+1)</f>
        <v>0.3</v>
      </c>
      <c r="AG50" s="8">
        <f>INDEX(Hedef!$C$17:$C$21,Kanit!AG50+1)</f>
        <v>0.3</v>
      </c>
    </row>
    <row r="51">
      <c r="A51" s="7" t="str">
        <f>Secenekler!A51</f>
        <v>software-factory-b</v>
      </c>
      <c r="B51" s="7" t="str">
        <f>Secenekler!C51</f>
        <v>Tek repo için ajan PR makbuzu kurulum hizmeti</v>
      </c>
      <c r="C51" s="8">
        <f>INDEX(Hedef!$C$17:$C$21,Kanit!C51+1)</f>
        <v>0.3</v>
      </c>
      <c r="D51" s="8">
        <f>INDEX(Hedef!$C$17:$C$21,Kanit!D51+1)</f>
        <v>0.3</v>
      </c>
      <c r="E51" s="8">
        <f>INDEX(Hedef!$C$17:$C$21,Kanit!E51+1)</f>
        <v>0.5</v>
      </c>
      <c r="F51" s="8">
        <f>INDEX(Hedef!$C$17:$C$21,Kanit!F51+1)</f>
        <v>0.5</v>
      </c>
      <c r="G51" s="8">
        <f>INDEX(Hedef!$C$17:$C$21,Kanit!G51+1)</f>
        <v>0.3</v>
      </c>
      <c r="H51" s="8">
        <f>INDEX(Hedef!$C$17:$C$21,Kanit!H51+1)</f>
        <v>0.3</v>
      </c>
      <c r="I51" s="8">
        <f>INDEX(Hedef!$C$17:$C$21,Kanit!I51+1)</f>
        <v>0.3</v>
      </c>
      <c r="J51" s="8">
        <f>INDEX(Hedef!$C$17:$C$21,Kanit!J51+1)</f>
        <v>0.5</v>
      </c>
      <c r="K51" s="8">
        <f>INDEX(Hedef!$C$17:$C$21,Kanit!K51+1)</f>
        <v>0.3</v>
      </c>
      <c r="L51" s="8">
        <f>INDEX(Hedef!$C$17:$C$21,Kanit!L51+1)</f>
        <v>0.3</v>
      </c>
      <c r="M51" s="8">
        <f>INDEX(Hedef!$C$17:$C$21,Kanit!M51+1)</f>
        <v>0.3</v>
      </c>
      <c r="N51" s="8">
        <f>INDEX(Hedef!$C$17:$C$21,Kanit!N51+1)</f>
        <v>0.3</v>
      </c>
      <c r="O51" s="8">
        <f>INDEX(Hedef!$C$17:$C$21,Kanit!O51+1)</f>
        <v>0.3</v>
      </c>
      <c r="P51" s="8">
        <f>INDEX(Hedef!$C$17:$C$21,Kanit!P51+1)</f>
        <v>0.3</v>
      </c>
      <c r="Q51" s="8">
        <f>INDEX(Hedef!$C$17:$C$21,Kanit!Q51+1)</f>
        <v>0.3</v>
      </c>
      <c r="R51" s="8">
        <f>INDEX(Hedef!$C$17:$C$21,Kanit!R51+1)</f>
        <v>0.3</v>
      </c>
      <c r="S51" s="8">
        <f>INDEX(Hedef!$C$17:$C$21,Kanit!S51+1)</f>
        <v>0.3</v>
      </c>
      <c r="T51" s="8">
        <f>INDEX(Hedef!$C$17:$C$21,Kanit!T51+1)</f>
        <v>0.3</v>
      </c>
      <c r="U51" s="8">
        <f>INDEX(Hedef!$C$17:$C$21,Kanit!U51+1)</f>
        <v>0.5</v>
      </c>
      <c r="V51" s="8">
        <f>INDEX(Hedef!$C$17:$C$21,Kanit!V51+1)</f>
        <v>0.3</v>
      </c>
      <c r="W51" s="8">
        <f>INDEX(Hedef!$C$17:$C$21,Kanit!W51+1)</f>
        <v>0.3</v>
      </c>
      <c r="X51" s="8">
        <f>INDEX(Hedef!$C$17:$C$21,Kanit!X51+1)</f>
        <v>0.5</v>
      </c>
      <c r="Y51" s="8">
        <f>INDEX(Hedef!$C$17:$C$21,Kanit!Y51+1)</f>
        <v>0.5</v>
      </c>
      <c r="Z51" s="8">
        <f>INDEX(Hedef!$C$17:$C$21,Kanit!Z51+1)</f>
        <v>0.3</v>
      </c>
      <c r="AA51" s="8">
        <f>INDEX(Hedef!$C$17:$C$21,Kanit!AA51+1)</f>
        <v>0.3</v>
      </c>
      <c r="AB51" s="8">
        <f>INDEX(Hedef!$C$17:$C$21,Kanit!AB51+1)</f>
        <v>0.3</v>
      </c>
      <c r="AD51" s="8">
        <f>INDEX(Hedef!$C$17:$C$21,Kanit!AD51+1)</f>
        <v>0.3</v>
      </c>
      <c r="AE51" s="8">
        <f>INDEX(Hedef!$C$17:$C$21,Kanit!AE51+1)</f>
        <v>0.5</v>
      </c>
      <c r="AF51" s="8">
        <f>INDEX(Hedef!$C$17:$C$21,Kanit!AF51+1)</f>
        <v>0.3</v>
      </c>
      <c r="AG51" s="8">
        <f>INDEX(Hedef!$C$17:$C$21,Kanit!AG51+1)</f>
        <v>0.3</v>
      </c>
    </row>
    <row r="52">
      <c r="A52" s="7" t="str">
        <f>Secenekler!A52</f>
        <v>software-factory-c</v>
      </c>
      <c r="B52" s="7" t="str">
        <f>Secenekler!C52</f>
        <v>Ajanslara beyaz etiket kanıtlı MVP kapasitesi</v>
      </c>
      <c r="C52" s="8">
        <f>INDEX(Hedef!$C$17:$C$21,Kanit!C52+1)</f>
        <v>0.3</v>
      </c>
      <c r="D52" s="8">
        <f>INDEX(Hedef!$C$17:$C$21,Kanit!D52+1)</f>
        <v>0.3</v>
      </c>
      <c r="E52" s="8">
        <f>INDEX(Hedef!$C$17:$C$21,Kanit!E52+1)</f>
        <v>0.3</v>
      </c>
      <c r="F52" s="8">
        <f>INDEX(Hedef!$C$17:$C$21,Kanit!F52+1)</f>
        <v>0.3</v>
      </c>
      <c r="G52" s="8">
        <f>INDEX(Hedef!$C$17:$C$21,Kanit!G52+1)</f>
        <v>0.3</v>
      </c>
      <c r="H52" s="8">
        <f>INDEX(Hedef!$C$17:$C$21,Kanit!H52+1)</f>
        <v>0.3</v>
      </c>
      <c r="I52" s="8">
        <f>INDEX(Hedef!$C$17:$C$21,Kanit!I52+1)</f>
        <v>0.3</v>
      </c>
      <c r="J52" s="8">
        <f>INDEX(Hedef!$C$17:$C$21,Kanit!J52+1)</f>
        <v>0.3</v>
      </c>
      <c r="K52" s="8">
        <f>INDEX(Hedef!$C$17:$C$21,Kanit!K52+1)</f>
        <v>0.3</v>
      </c>
      <c r="L52" s="8">
        <f>INDEX(Hedef!$C$17:$C$21,Kanit!L52+1)</f>
        <v>0.3</v>
      </c>
      <c r="M52" s="8">
        <f>INDEX(Hedef!$C$17:$C$21,Kanit!M52+1)</f>
        <v>0.5</v>
      </c>
      <c r="N52" s="8">
        <f>INDEX(Hedef!$C$17:$C$21,Kanit!N52+1)</f>
        <v>0.3</v>
      </c>
      <c r="O52" s="8">
        <f>INDEX(Hedef!$C$17:$C$21,Kanit!O52+1)</f>
        <v>0.3</v>
      </c>
      <c r="P52" s="8">
        <f>INDEX(Hedef!$C$17:$C$21,Kanit!P52+1)</f>
        <v>0.3</v>
      </c>
      <c r="Q52" s="8">
        <f>INDEX(Hedef!$C$17:$C$21,Kanit!Q52+1)</f>
        <v>0.3</v>
      </c>
      <c r="R52" s="8">
        <f>INDEX(Hedef!$C$17:$C$21,Kanit!R52+1)</f>
        <v>0.3</v>
      </c>
      <c r="S52" s="8">
        <f>INDEX(Hedef!$C$17:$C$21,Kanit!S52+1)</f>
        <v>0.3</v>
      </c>
      <c r="T52" s="8">
        <f>INDEX(Hedef!$C$17:$C$21,Kanit!T52+1)</f>
        <v>0.3</v>
      </c>
      <c r="U52" s="8">
        <f>INDEX(Hedef!$C$17:$C$21,Kanit!U52+1)</f>
        <v>0.5</v>
      </c>
      <c r="V52" s="8">
        <f>INDEX(Hedef!$C$17:$C$21,Kanit!V52+1)</f>
        <v>0.3</v>
      </c>
      <c r="W52" s="8">
        <f>INDEX(Hedef!$C$17:$C$21,Kanit!W52+1)</f>
        <v>0.3</v>
      </c>
      <c r="X52" s="8">
        <f>INDEX(Hedef!$C$17:$C$21,Kanit!X52+1)</f>
        <v>0.3</v>
      </c>
      <c r="Y52" s="8">
        <f>INDEX(Hedef!$C$17:$C$21,Kanit!Y52+1)</f>
        <v>0.3</v>
      </c>
      <c r="Z52" s="8">
        <f>INDEX(Hedef!$C$17:$C$21,Kanit!Z52+1)</f>
        <v>0.5</v>
      </c>
      <c r="AA52" s="8">
        <f>INDEX(Hedef!$C$17:$C$21,Kanit!AA52+1)</f>
        <v>0.3</v>
      </c>
      <c r="AB52" s="8">
        <f>INDEX(Hedef!$C$17:$C$21,Kanit!AB52+1)</f>
        <v>0.3</v>
      </c>
      <c r="AD52" s="8">
        <f>INDEX(Hedef!$C$17:$C$21,Kanit!AD52+1)</f>
        <v>0.3</v>
      </c>
      <c r="AE52" s="8">
        <f>INDEX(Hedef!$C$17:$C$21,Kanit!AE52+1)</f>
        <v>0.3</v>
      </c>
      <c r="AF52" s="8">
        <f>INDEX(Hedef!$C$17:$C$21,Kanit!AF52+1)</f>
        <v>0.3</v>
      </c>
      <c r="AG52" s="8">
        <f>INDEX(Hedef!$C$17:$C$21,Kanit!AG52+1)</f>
        <v>0.3</v>
      </c>
    </row>
    <row r="53">
      <c r="A53" s="7" t="str">
        <f>Secenekler!A53</f>
        <v>strateji-simulatoru-a</v>
      </c>
      <c r="B53" s="7" t="str">
        <f>Secenekler!C53</f>
        <v>Kuluçka ve BİGG uygulayıcıya white-label lisans</v>
      </c>
      <c r="C53" s="8">
        <f>INDEX(Hedef!$C$17:$C$21,Kanit!C53+1)</f>
        <v>0.5</v>
      </c>
      <c r="D53" s="8">
        <f>INDEX(Hedef!$C$17:$C$21,Kanit!D53+1)</f>
        <v>0.5</v>
      </c>
      <c r="E53" s="8">
        <f>INDEX(Hedef!$C$17:$C$21,Kanit!E53+1)</f>
        <v>0.3</v>
      </c>
      <c r="F53" s="8">
        <f>INDEX(Hedef!$C$17:$C$21,Kanit!F53+1)</f>
        <v>0.5</v>
      </c>
      <c r="G53" s="8">
        <f>INDEX(Hedef!$C$17:$C$21,Kanit!G53+1)</f>
        <v>0.3</v>
      </c>
      <c r="H53" s="8">
        <f>INDEX(Hedef!$C$17:$C$21,Kanit!H53+1)</f>
        <v>0.3</v>
      </c>
      <c r="I53" s="8">
        <f>INDEX(Hedef!$C$17:$C$21,Kanit!I53+1)</f>
        <v>0.5</v>
      </c>
      <c r="J53" s="8">
        <f>INDEX(Hedef!$C$17:$C$21,Kanit!J53+1)</f>
        <v>0.3</v>
      </c>
      <c r="K53" s="8">
        <f>INDEX(Hedef!$C$17:$C$21,Kanit!K53+1)</f>
        <v>0.3</v>
      </c>
      <c r="L53" s="8">
        <f>INDEX(Hedef!$C$17:$C$21,Kanit!L53+1)</f>
        <v>0.5</v>
      </c>
      <c r="M53" s="8">
        <f>INDEX(Hedef!$C$17:$C$21,Kanit!M53+1)</f>
        <v>0.5</v>
      </c>
      <c r="N53" s="8">
        <f>INDEX(Hedef!$C$17:$C$21,Kanit!N53+1)</f>
        <v>0.3</v>
      </c>
      <c r="O53" s="8">
        <f>INDEX(Hedef!$C$17:$C$21,Kanit!O53+1)</f>
        <v>0.3</v>
      </c>
      <c r="P53" s="8">
        <f>INDEX(Hedef!$C$17:$C$21,Kanit!P53+1)</f>
        <v>0.3</v>
      </c>
      <c r="Q53" s="8">
        <f>INDEX(Hedef!$C$17:$C$21,Kanit!Q53+1)</f>
        <v>0.3</v>
      </c>
      <c r="R53" s="8">
        <f>INDEX(Hedef!$C$17:$C$21,Kanit!R53+1)</f>
        <v>0.5</v>
      </c>
      <c r="S53" s="8">
        <f>INDEX(Hedef!$C$17:$C$21,Kanit!S53+1)</f>
        <v>0.3</v>
      </c>
      <c r="T53" s="8">
        <f>INDEX(Hedef!$C$17:$C$21,Kanit!T53+1)</f>
        <v>0.5</v>
      </c>
      <c r="U53" s="8">
        <f>INDEX(Hedef!$C$17:$C$21,Kanit!U53+1)</f>
        <v>0.3</v>
      </c>
      <c r="V53" s="8">
        <f>INDEX(Hedef!$C$17:$C$21,Kanit!V53+1)</f>
        <v>0.3</v>
      </c>
      <c r="W53" s="8">
        <f>INDEX(Hedef!$C$17:$C$21,Kanit!W53+1)</f>
        <v>0.3</v>
      </c>
      <c r="X53" s="8">
        <f>INDEX(Hedef!$C$17:$C$21,Kanit!X53+1)</f>
        <v>0.5</v>
      </c>
      <c r="Y53" s="8">
        <f>INDEX(Hedef!$C$17:$C$21,Kanit!Y53+1)</f>
        <v>0.5</v>
      </c>
      <c r="Z53" s="8">
        <f>INDEX(Hedef!$C$17:$C$21,Kanit!Z53+1)</f>
        <v>0.3</v>
      </c>
      <c r="AA53" s="8">
        <f>INDEX(Hedef!$C$17:$C$21,Kanit!AA53+1)</f>
        <v>0.5</v>
      </c>
      <c r="AB53" s="8">
        <f>INDEX(Hedef!$C$17:$C$21,Kanit!AB53+1)</f>
        <v>0.3</v>
      </c>
      <c r="AD53" s="8">
        <f>INDEX(Hedef!$C$17:$C$21,Kanit!AD53+1)</f>
        <v>0.5</v>
      </c>
      <c r="AE53" s="8">
        <f>INDEX(Hedef!$C$17:$C$21,Kanit!AE53+1)</f>
        <v>0.3</v>
      </c>
      <c r="AF53" s="8">
        <f>INDEX(Hedef!$C$17:$C$21,Kanit!AF53+1)</f>
        <v>0.3</v>
      </c>
      <c r="AG53" s="8">
        <f>INDEX(Hedef!$C$17:$C$21,Kanit!AG53+1)</f>
        <v>0.3</v>
      </c>
    </row>
    <row r="54">
      <c r="A54" s="7" t="str">
        <f>Secenekler!A54</f>
        <v>strateji-simulatoru-b</v>
      </c>
      <c r="B54" s="7" t="str">
        <f>Secenekler!C54</f>
        <v>Girişimci adayına ücretli yönetici raporu (PDF)</v>
      </c>
      <c r="C54" s="8">
        <f>INDEX(Hedef!$C$17:$C$21,Kanit!C54+1)</f>
        <v>0.5</v>
      </c>
      <c r="D54" s="8">
        <f>INDEX(Hedef!$C$17:$C$21,Kanit!D54+1)</f>
        <v>0.5</v>
      </c>
      <c r="E54" s="8">
        <f>INDEX(Hedef!$C$17:$C$21,Kanit!E54+1)</f>
        <v>0.3</v>
      </c>
      <c r="F54" s="8">
        <f>INDEX(Hedef!$C$17:$C$21,Kanit!F54+1)</f>
        <v>0.3</v>
      </c>
      <c r="G54" s="8">
        <f>INDEX(Hedef!$C$17:$C$21,Kanit!G54+1)</f>
        <v>0.3</v>
      </c>
      <c r="H54" s="8">
        <f>INDEX(Hedef!$C$17:$C$21,Kanit!H54+1)</f>
        <v>0.3</v>
      </c>
      <c r="I54" s="8">
        <f>INDEX(Hedef!$C$17:$C$21,Kanit!I54+1)</f>
        <v>0.3</v>
      </c>
      <c r="J54" s="8">
        <f>INDEX(Hedef!$C$17:$C$21,Kanit!J54+1)</f>
        <v>0.3</v>
      </c>
      <c r="K54" s="8">
        <f>INDEX(Hedef!$C$17:$C$21,Kanit!K54+1)</f>
        <v>0.3</v>
      </c>
      <c r="L54" s="8">
        <f>INDEX(Hedef!$C$17:$C$21,Kanit!L54+1)</f>
        <v>0.5</v>
      </c>
      <c r="M54" s="8">
        <f>INDEX(Hedef!$C$17:$C$21,Kanit!M54+1)</f>
        <v>0.3</v>
      </c>
      <c r="N54" s="8">
        <f>INDEX(Hedef!$C$17:$C$21,Kanit!N54+1)</f>
        <v>0.3</v>
      </c>
      <c r="O54" s="8">
        <f>INDEX(Hedef!$C$17:$C$21,Kanit!O54+1)</f>
        <v>0.3</v>
      </c>
      <c r="P54" s="8">
        <f>INDEX(Hedef!$C$17:$C$21,Kanit!P54+1)</f>
        <v>0.3</v>
      </c>
      <c r="Q54" s="8">
        <f>INDEX(Hedef!$C$17:$C$21,Kanit!Q54+1)</f>
        <v>0.3</v>
      </c>
      <c r="R54" s="8">
        <f>INDEX(Hedef!$C$17:$C$21,Kanit!R54+1)</f>
        <v>0.5</v>
      </c>
      <c r="S54" s="8">
        <f>INDEX(Hedef!$C$17:$C$21,Kanit!S54+1)</f>
        <v>0.3</v>
      </c>
      <c r="T54" s="8">
        <f>INDEX(Hedef!$C$17:$C$21,Kanit!T54+1)</f>
        <v>0.5</v>
      </c>
      <c r="U54" s="8">
        <f>INDEX(Hedef!$C$17:$C$21,Kanit!U54+1)</f>
        <v>0.3</v>
      </c>
      <c r="V54" s="8">
        <f>INDEX(Hedef!$C$17:$C$21,Kanit!V54+1)</f>
        <v>0.3</v>
      </c>
      <c r="W54" s="8">
        <f>INDEX(Hedef!$C$17:$C$21,Kanit!W54+1)</f>
        <v>0.3</v>
      </c>
      <c r="X54" s="8">
        <f>INDEX(Hedef!$C$17:$C$21,Kanit!X54+1)</f>
        <v>0.5</v>
      </c>
      <c r="Y54" s="8">
        <f>INDEX(Hedef!$C$17:$C$21,Kanit!Y54+1)</f>
        <v>0.5</v>
      </c>
      <c r="Z54" s="8">
        <f>INDEX(Hedef!$C$17:$C$21,Kanit!Z54+1)</f>
        <v>0.3</v>
      </c>
      <c r="AA54" s="8">
        <f>INDEX(Hedef!$C$17:$C$21,Kanit!AA54+1)</f>
        <v>0.5</v>
      </c>
      <c r="AB54" s="8">
        <f>INDEX(Hedef!$C$17:$C$21,Kanit!AB54+1)</f>
        <v>0.3</v>
      </c>
      <c r="AD54" s="8">
        <f>INDEX(Hedef!$C$17:$C$21,Kanit!AD54+1)</f>
        <v>0.5</v>
      </c>
      <c r="AE54" s="8">
        <f>INDEX(Hedef!$C$17:$C$21,Kanit!AE54+1)</f>
        <v>0.5</v>
      </c>
      <c r="AF54" s="8">
        <f>INDEX(Hedef!$C$17:$C$21,Kanit!AF54+1)</f>
        <v>0.3</v>
      </c>
      <c r="AG54" s="8">
        <f>INDEX(Hedef!$C$17:$C$21,Kanit!AG54+1)</f>
        <v>0.3</v>
      </c>
    </row>
    <row r="55">
      <c r="A55" s="7" t="str">
        <f>Secenekler!A55</f>
        <v>strateji-simulatoru-c</v>
      </c>
      <c r="B55" s="7" t="str">
        <f>Secenekler!C55</f>
        <v>Mevcut müşterilere değerlendirme raporu ve yorum görüşmesi</v>
      </c>
      <c r="C55" s="8">
        <f>INDEX(Hedef!$C$17:$C$21,Kanit!C55+1)</f>
        <v>0.3</v>
      </c>
      <c r="D55" s="8">
        <f>INDEX(Hedef!$C$17:$C$21,Kanit!D55+1)</f>
        <v>0.3</v>
      </c>
      <c r="E55" s="8">
        <f>INDEX(Hedef!$C$17:$C$21,Kanit!E55+1)</f>
        <v>0.3</v>
      </c>
      <c r="F55" s="8">
        <f>INDEX(Hedef!$C$17:$C$21,Kanit!F55+1)</f>
        <v>0.3</v>
      </c>
      <c r="G55" s="8">
        <f>INDEX(Hedef!$C$17:$C$21,Kanit!G55+1)</f>
        <v>0.3</v>
      </c>
      <c r="H55" s="8">
        <f>INDEX(Hedef!$C$17:$C$21,Kanit!H55+1)</f>
        <v>0.3</v>
      </c>
      <c r="I55" s="8">
        <f>INDEX(Hedef!$C$17:$C$21,Kanit!I55+1)</f>
        <v>0.5</v>
      </c>
      <c r="J55" s="8">
        <f>INDEX(Hedef!$C$17:$C$21,Kanit!J55+1)</f>
        <v>0.3</v>
      </c>
      <c r="K55" s="8">
        <f>INDEX(Hedef!$C$17:$C$21,Kanit!K55+1)</f>
        <v>0.3</v>
      </c>
      <c r="L55" s="8">
        <f>INDEX(Hedef!$C$17:$C$21,Kanit!L55+1)</f>
        <v>0.3</v>
      </c>
      <c r="M55" s="8">
        <f>INDEX(Hedef!$C$17:$C$21,Kanit!M55+1)</f>
        <v>0.3</v>
      </c>
      <c r="N55" s="8">
        <f>INDEX(Hedef!$C$17:$C$21,Kanit!N55+1)</f>
        <v>0.3</v>
      </c>
      <c r="O55" s="8">
        <f>INDEX(Hedef!$C$17:$C$21,Kanit!O55+1)</f>
        <v>0.3</v>
      </c>
      <c r="P55" s="8">
        <f>INDEX(Hedef!$C$17:$C$21,Kanit!P55+1)</f>
        <v>0.5</v>
      </c>
      <c r="Q55" s="8">
        <f>INDEX(Hedef!$C$17:$C$21,Kanit!Q55+1)</f>
        <v>0.3</v>
      </c>
      <c r="R55" s="8">
        <f>INDEX(Hedef!$C$17:$C$21,Kanit!R55+1)</f>
        <v>0.5</v>
      </c>
      <c r="S55" s="8">
        <f>INDEX(Hedef!$C$17:$C$21,Kanit!S55+1)</f>
        <v>0.3</v>
      </c>
      <c r="T55" s="8">
        <f>INDEX(Hedef!$C$17:$C$21,Kanit!T55+1)</f>
        <v>0.5</v>
      </c>
      <c r="U55" s="8">
        <f>INDEX(Hedef!$C$17:$C$21,Kanit!U55+1)</f>
        <v>0.3</v>
      </c>
      <c r="V55" s="8">
        <f>INDEX(Hedef!$C$17:$C$21,Kanit!V55+1)</f>
        <v>0.3</v>
      </c>
      <c r="W55" s="8">
        <f>INDEX(Hedef!$C$17:$C$21,Kanit!W55+1)</f>
        <v>0.3</v>
      </c>
      <c r="X55" s="8">
        <f>INDEX(Hedef!$C$17:$C$21,Kanit!X55+1)</f>
        <v>0.5</v>
      </c>
      <c r="Y55" s="8">
        <f>INDEX(Hedef!$C$17:$C$21,Kanit!Y55+1)</f>
        <v>0.5</v>
      </c>
      <c r="Z55" s="8">
        <f>INDEX(Hedef!$C$17:$C$21,Kanit!Z55+1)</f>
        <v>0.3</v>
      </c>
      <c r="AA55" s="8">
        <f>INDEX(Hedef!$C$17:$C$21,Kanit!AA55+1)</f>
        <v>0.5</v>
      </c>
      <c r="AB55" s="8">
        <f>INDEX(Hedef!$C$17:$C$21,Kanit!AB55+1)</f>
        <v>0.3</v>
      </c>
      <c r="AD55" s="8">
        <f>INDEX(Hedef!$C$17:$C$21,Kanit!AD55+1)</f>
        <v>0.3</v>
      </c>
      <c r="AE55" s="8">
        <f>INDEX(Hedef!$C$17:$C$21,Kanit!AE55+1)</f>
        <v>0.3</v>
      </c>
      <c r="AF55" s="8">
        <f>INDEX(Hedef!$C$17:$C$21,Kanit!AF55+1)</f>
        <v>0.3</v>
      </c>
      <c r="AG55" s="8">
        <f>INDEX(Hedef!$C$17:$C$21,Kanit!AG55+1)</f>
        <v>0.3</v>
      </c>
    </row>
    <row r="56">
      <c r="A56" s="7" t="str">
        <f>Secenekler!A56</f>
        <v>ajan-kaynak-koruyucu-a</v>
      </c>
      <c r="B56" s="7" t="str">
        <f>Secenekler!C56</f>
        <v>Pro menü çubuğu uygulaması ve rehber paketi (bireysel geliştirici)</v>
      </c>
      <c r="C56" s="8">
        <f>INDEX(Hedef!$C$17:$C$21,Kanit!C56+1)</f>
        <v>0.5</v>
      </c>
      <c r="D56" s="8">
        <f>INDEX(Hedef!$C$17:$C$21,Kanit!D56+1)</f>
        <v>0.5</v>
      </c>
      <c r="E56" s="8">
        <f>INDEX(Hedef!$C$17:$C$21,Kanit!E56+1)</f>
        <v>0.5</v>
      </c>
      <c r="F56" s="8">
        <f>INDEX(Hedef!$C$17:$C$21,Kanit!F56+1)</f>
        <v>0.5</v>
      </c>
      <c r="G56" s="8">
        <f>INDEX(Hedef!$C$17:$C$21,Kanit!G56+1)</f>
        <v>0.3</v>
      </c>
      <c r="H56" s="8">
        <f>INDEX(Hedef!$C$17:$C$21,Kanit!H56+1)</f>
        <v>0.5</v>
      </c>
      <c r="I56" s="8">
        <f>INDEX(Hedef!$C$17:$C$21,Kanit!I56+1)</f>
        <v>0.3</v>
      </c>
      <c r="J56" s="8">
        <f>INDEX(Hedef!$C$17:$C$21,Kanit!J56+1)</f>
        <v>0.5</v>
      </c>
      <c r="K56" s="8">
        <f>INDEX(Hedef!$C$17:$C$21,Kanit!K56+1)</f>
        <v>0.5</v>
      </c>
      <c r="L56" s="8">
        <f>INDEX(Hedef!$C$17:$C$21,Kanit!L56+1)</f>
        <v>0.3</v>
      </c>
      <c r="M56" s="8">
        <f>INDEX(Hedef!$C$17:$C$21,Kanit!M56+1)</f>
        <v>0.5</v>
      </c>
      <c r="N56" s="8">
        <f>INDEX(Hedef!$C$17:$C$21,Kanit!N56+1)</f>
        <v>0.3</v>
      </c>
      <c r="O56" s="8">
        <f>INDEX(Hedef!$C$17:$C$21,Kanit!O56+1)</f>
        <v>0.3</v>
      </c>
      <c r="P56" s="8">
        <f>INDEX(Hedef!$C$17:$C$21,Kanit!P56+1)</f>
        <v>0.5</v>
      </c>
      <c r="Q56" s="8">
        <f>INDEX(Hedef!$C$17:$C$21,Kanit!Q56+1)</f>
        <v>0.3</v>
      </c>
      <c r="R56" s="8">
        <f>INDEX(Hedef!$C$17:$C$21,Kanit!R56+1)</f>
        <v>0.5</v>
      </c>
      <c r="S56" s="8">
        <f>INDEX(Hedef!$C$17:$C$21,Kanit!S56+1)</f>
        <v>0.3</v>
      </c>
      <c r="T56" s="8">
        <f>INDEX(Hedef!$C$17:$C$21,Kanit!T56+1)</f>
        <v>0.5</v>
      </c>
      <c r="U56" s="8">
        <f>INDEX(Hedef!$C$17:$C$21,Kanit!U56+1)</f>
        <v>0.3</v>
      </c>
      <c r="V56" s="8">
        <f>INDEX(Hedef!$C$17:$C$21,Kanit!V56+1)</f>
        <v>0.3</v>
      </c>
      <c r="W56" s="8">
        <f>INDEX(Hedef!$C$17:$C$21,Kanit!W56+1)</f>
        <v>0.3</v>
      </c>
      <c r="X56" s="8">
        <f>INDEX(Hedef!$C$17:$C$21,Kanit!X56+1)</f>
        <v>0.5</v>
      </c>
      <c r="Y56" s="8">
        <f>INDEX(Hedef!$C$17:$C$21,Kanit!Y56+1)</f>
        <v>0.5</v>
      </c>
      <c r="Z56" s="8">
        <f>INDEX(Hedef!$C$17:$C$21,Kanit!Z56+1)</f>
        <v>0.3</v>
      </c>
      <c r="AA56" s="8">
        <f>INDEX(Hedef!$C$17:$C$21,Kanit!AA56+1)</f>
        <v>0.5</v>
      </c>
      <c r="AB56" s="8">
        <f>INDEX(Hedef!$C$17:$C$21,Kanit!AB56+1)</f>
        <v>0.3</v>
      </c>
      <c r="AD56" s="8">
        <f>INDEX(Hedef!$C$17:$C$21,Kanit!AD56+1)</f>
        <v>0.5</v>
      </c>
      <c r="AE56" s="8">
        <f>INDEX(Hedef!$C$17:$C$21,Kanit!AE56+1)</f>
        <v>0.5</v>
      </c>
      <c r="AF56" s="8">
        <f>INDEX(Hedef!$C$17:$C$21,Kanit!AF56+1)</f>
        <v>0.3</v>
      </c>
      <c r="AG56" s="8">
        <f>INDEX(Hedef!$C$17:$C$21,Kanit!AG56+1)</f>
        <v>0.3</v>
      </c>
    </row>
    <row r="57">
      <c r="A57" s="7" t="str">
        <f>Secenekler!A57</f>
        <v>ajan-kaynak-koruyucu-b</v>
      </c>
      <c r="B57" s="7" t="str">
        <f>Secenekler!C57</f>
        <v>Rapor-yalnız paket ve destekli kurulum/uyumluluk hizmeti</v>
      </c>
      <c r="C57" s="8">
        <f>INDEX(Hedef!$C$17:$C$21,Kanit!C57+1)</f>
        <v>0.5</v>
      </c>
      <c r="D57" s="8">
        <f>INDEX(Hedef!$C$17:$C$21,Kanit!D57+1)</f>
        <v>0.3</v>
      </c>
      <c r="E57" s="8">
        <f>INDEX(Hedef!$C$17:$C$21,Kanit!E57+1)</f>
        <v>0.3</v>
      </c>
      <c r="F57" s="8">
        <f>INDEX(Hedef!$C$17:$C$21,Kanit!F57+1)</f>
        <v>0.5</v>
      </c>
      <c r="G57" s="8">
        <f>INDEX(Hedef!$C$17:$C$21,Kanit!G57+1)</f>
        <v>0.3</v>
      </c>
      <c r="H57" s="8">
        <f>INDEX(Hedef!$C$17:$C$21,Kanit!H57+1)</f>
        <v>0.3</v>
      </c>
      <c r="I57" s="8">
        <f>INDEX(Hedef!$C$17:$C$21,Kanit!I57+1)</f>
        <v>0.3</v>
      </c>
      <c r="J57" s="8">
        <f>INDEX(Hedef!$C$17:$C$21,Kanit!J57+1)</f>
        <v>0.3</v>
      </c>
      <c r="K57" s="8">
        <f>INDEX(Hedef!$C$17:$C$21,Kanit!K57+1)</f>
        <v>0.3</v>
      </c>
      <c r="L57" s="8">
        <f>INDEX(Hedef!$C$17:$C$21,Kanit!L57+1)</f>
        <v>0.3</v>
      </c>
      <c r="M57" s="8">
        <f>INDEX(Hedef!$C$17:$C$21,Kanit!M57+1)</f>
        <v>0.3</v>
      </c>
      <c r="N57" s="8">
        <f>INDEX(Hedef!$C$17:$C$21,Kanit!N57+1)</f>
        <v>0.3</v>
      </c>
      <c r="O57" s="8">
        <f>INDEX(Hedef!$C$17:$C$21,Kanit!O57+1)</f>
        <v>0.3</v>
      </c>
      <c r="P57" s="8">
        <f>INDEX(Hedef!$C$17:$C$21,Kanit!P57+1)</f>
        <v>0.5</v>
      </c>
      <c r="Q57" s="8">
        <f>INDEX(Hedef!$C$17:$C$21,Kanit!Q57+1)</f>
        <v>0.3</v>
      </c>
      <c r="R57" s="8">
        <f>INDEX(Hedef!$C$17:$C$21,Kanit!R57+1)</f>
        <v>0.3</v>
      </c>
      <c r="S57" s="8">
        <f>INDEX(Hedef!$C$17:$C$21,Kanit!S57+1)</f>
        <v>0.3</v>
      </c>
      <c r="T57" s="8">
        <f>INDEX(Hedef!$C$17:$C$21,Kanit!T57+1)</f>
        <v>0.5</v>
      </c>
      <c r="U57" s="8">
        <f>INDEX(Hedef!$C$17:$C$21,Kanit!U57+1)</f>
        <v>0.3</v>
      </c>
      <c r="V57" s="8">
        <f>INDEX(Hedef!$C$17:$C$21,Kanit!V57+1)</f>
        <v>0.3</v>
      </c>
      <c r="W57" s="8">
        <f>INDEX(Hedef!$C$17:$C$21,Kanit!W57+1)</f>
        <v>0.3</v>
      </c>
      <c r="X57" s="8">
        <f>INDEX(Hedef!$C$17:$C$21,Kanit!X57+1)</f>
        <v>0.5</v>
      </c>
      <c r="Y57" s="8">
        <f>INDEX(Hedef!$C$17:$C$21,Kanit!Y57+1)</f>
        <v>0.5</v>
      </c>
      <c r="Z57" s="8">
        <f>INDEX(Hedef!$C$17:$C$21,Kanit!Z57+1)</f>
        <v>0.3</v>
      </c>
      <c r="AA57" s="8">
        <f>INDEX(Hedef!$C$17:$C$21,Kanit!AA57+1)</f>
        <v>0.5</v>
      </c>
      <c r="AB57" s="8">
        <f>INDEX(Hedef!$C$17:$C$21,Kanit!AB57+1)</f>
        <v>0.3</v>
      </c>
      <c r="AD57" s="8">
        <f>INDEX(Hedef!$C$17:$C$21,Kanit!AD57+1)</f>
        <v>0.3</v>
      </c>
      <c r="AE57" s="8">
        <f>INDEX(Hedef!$C$17:$C$21,Kanit!AE57+1)</f>
        <v>0.5</v>
      </c>
      <c r="AF57" s="8">
        <f>INDEX(Hedef!$C$17:$C$21,Kanit!AF57+1)</f>
        <v>0.3</v>
      </c>
      <c r="AG57" s="8">
        <f>INDEX(Hedef!$C$17:$C$21,Kanit!AG57+1)</f>
        <v>0.3</v>
      </c>
    </row>
    <row r="58">
      <c r="A58" s="7" t="str">
        <f>Secenekler!A58</f>
        <v>ajan-kaynak-koruyucu-c</v>
      </c>
      <c r="B58" s="7" t="str">
        <f>Secenekler!C58</f>
        <v>Orkestratör ortaklığı ve kurumsal sponsorluk (kabul API'si)</v>
      </c>
      <c r="C58" s="8">
        <f>INDEX(Hedef!$C$17:$C$21,Kanit!C58+1)</f>
        <v>0.5</v>
      </c>
      <c r="D58" s="8">
        <f>INDEX(Hedef!$C$17:$C$21,Kanit!D58+1)</f>
        <v>0.3</v>
      </c>
      <c r="E58" s="8">
        <f>INDEX(Hedef!$C$17:$C$21,Kanit!E58+1)</f>
        <v>0.3</v>
      </c>
      <c r="F58" s="8">
        <f>INDEX(Hedef!$C$17:$C$21,Kanit!F58+1)</f>
        <v>0.3</v>
      </c>
      <c r="G58" s="8">
        <f>INDEX(Hedef!$C$17:$C$21,Kanit!G58+1)</f>
        <v>0.3</v>
      </c>
      <c r="H58" s="8">
        <f>INDEX(Hedef!$C$17:$C$21,Kanit!H58+1)</f>
        <v>0.5</v>
      </c>
      <c r="I58" s="8">
        <f>INDEX(Hedef!$C$17:$C$21,Kanit!I58+1)</f>
        <v>0.5</v>
      </c>
      <c r="J58" s="8">
        <f>INDEX(Hedef!$C$17:$C$21,Kanit!J58+1)</f>
        <v>0.3</v>
      </c>
      <c r="K58" s="8">
        <f>INDEX(Hedef!$C$17:$C$21,Kanit!K58+1)</f>
        <v>0.5</v>
      </c>
      <c r="L58" s="8">
        <f>INDEX(Hedef!$C$17:$C$21,Kanit!L58+1)</f>
        <v>0.3</v>
      </c>
      <c r="M58" s="8">
        <f>INDEX(Hedef!$C$17:$C$21,Kanit!M58+1)</f>
        <v>0.3</v>
      </c>
      <c r="N58" s="8">
        <f>INDEX(Hedef!$C$17:$C$21,Kanit!N58+1)</f>
        <v>0.3</v>
      </c>
      <c r="O58" s="8">
        <f>INDEX(Hedef!$C$17:$C$21,Kanit!O58+1)</f>
        <v>0.3</v>
      </c>
      <c r="P58" s="8">
        <f>INDEX(Hedef!$C$17:$C$21,Kanit!P58+1)</f>
        <v>0.5</v>
      </c>
      <c r="Q58" s="8">
        <f>INDEX(Hedef!$C$17:$C$21,Kanit!Q58+1)</f>
        <v>0.3</v>
      </c>
      <c r="R58" s="8">
        <f>INDEX(Hedef!$C$17:$C$21,Kanit!R58+1)</f>
        <v>0.5</v>
      </c>
      <c r="S58" s="8">
        <f>INDEX(Hedef!$C$17:$C$21,Kanit!S58+1)</f>
        <v>0.3</v>
      </c>
      <c r="T58" s="8">
        <f>INDEX(Hedef!$C$17:$C$21,Kanit!T58+1)</f>
        <v>0.3</v>
      </c>
      <c r="U58" s="8">
        <f>INDEX(Hedef!$C$17:$C$21,Kanit!U58+1)</f>
        <v>0.3</v>
      </c>
      <c r="V58" s="8">
        <f>INDEX(Hedef!$C$17:$C$21,Kanit!V58+1)</f>
        <v>0.5</v>
      </c>
      <c r="W58" s="8">
        <f>INDEX(Hedef!$C$17:$C$21,Kanit!W58+1)</f>
        <v>0.3</v>
      </c>
      <c r="X58" s="8">
        <f>INDEX(Hedef!$C$17:$C$21,Kanit!X58+1)</f>
        <v>0.3</v>
      </c>
      <c r="Y58" s="8">
        <f>INDEX(Hedef!$C$17:$C$21,Kanit!Y58+1)</f>
        <v>0.5</v>
      </c>
      <c r="Z58" s="8">
        <f>INDEX(Hedef!$C$17:$C$21,Kanit!Z58+1)</f>
        <v>0.3</v>
      </c>
      <c r="AA58" s="8">
        <f>INDEX(Hedef!$C$17:$C$21,Kanit!AA58+1)</f>
        <v>0.5</v>
      </c>
      <c r="AB58" s="8">
        <f>INDEX(Hedef!$C$17:$C$21,Kanit!AB58+1)</f>
        <v>0.3</v>
      </c>
      <c r="AD58" s="8">
        <f>INDEX(Hedef!$C$17:$C$21,Kanit!AD58+1)</f>
        <v>0.5</v>
      </c>
      <c r="AE58" s="8">
        <f>INDEX(Hedef!$C$17:$C$21,Kanit!AE58+1)</f>
        <v>0.3</v>
      </c>
      <c r="AF58" s="8">
        <f>INDEX(Hedef!$C$17:$C$21,Kanit!AF58+1)</f>
        <v>0.3</v>
      </c>
      <c r="AG58" s="8">
        <f>INDEX(Hedef!$C$17:$C$21,Kanit!AG58+1)</f>
        <v>0.3</v>
      </c>
    </row>
    <row r="59">
      <c r="A59" s="7" t="str">
        <f>Secenekler!A59</f>
        <v>actionplan-a</v>
      </c>
      <c r="B59" s="7" t="str">
        <f>Secenekler!C59</f>
        <v>Ajan görev paketi: açık çekirdek ve Pro şablonlar</v>
      </c>
      <c r="C59" s="8">
        <f>INDEX(Hedef!$C$17:$C$21,Kanit!C59+1)</f>
        <v>0.5</v>
      </c>
      <c r="D59" s="8">
        <f>INDEX(Hedef!$C$17:$C$21,Kanit!D59+1)</f>
        <v>0.3</v>
      </c>
      <c r="E59" s="8">
        <f>INDEX(Hedef!$C$17:$C$21,Kanit!E59+1)</f>
        <v>0.5</v>
      </c>
      <c r="F59" s="8">
        <f>INDEX(Hedef!$C$17:$C$21,Kanit!F59+1)</f>
        <v>0.5</v>
      </c>
      <c r="G59" s="8">
        <f>INDEX(Hedef!$C$17:$C$21,Kanit!G59+1)</f>
        <v>0.3</v>
      </c>
      <c r="H59" s="8">
        <f>INDEX(Hedef!$C$17:$C$21,Kanit!H59+1)</f>
        <v>0.3</v>
      </c>
      <c r="I59" s="8">
        <f>INDEX(Hedef!$C$17:$C$21,Kanit!I59+1)</f>
        <v>0.5</v>
      </c>
      <c r="J59" s="8">
        <f>INDEX(Hedef!$C$17:$C$21,Kanit!J59+1)</f>
        <v>0.3</v>
      </c>
      <c r="K59" s="8">
        <f>INDEX(Hedef!$C$17:$C$21,Kanit!K59+1)</f>
        <v>0.3</v>
      </c>
      <c r="L59" s="8">
        <f>INDEX(Hedef!$C$17:$C$21,Kanit!L59+1)</f>
        <v>0.3</v>
      </c>
      <c r="M59" s="8">
        <f>INDEX(Hedef!$C$17:$C$21,Kanit!M59+1)</f>
        <v>0.5</v>
      </c>
      <c r="N59" s="8">
        <f>INDEX(Hedef!$C$17:$C$21,Kanit!N59+1)</f>
        <v>0.3</v>
      </c>
      <c r="O59" s="8">
        <f>INDEX(Hedef!$C$17:$C$21,Kanit!O59+1)</f>
        <v>0.3</v>
      </c>
      <c r="P59" s="8">
        <f>INDEX(Hedef!$C$17:$C$21,Kanit!P59+1)</f>
        <v>0.5</v>
      </c>
      <c r="Q59" s="8">
        <f>INDEX(Hedef!$C$17:$C$21,Kanit!Q59+1)</f>
        <v>0.3</v>
      </c>
      <c r="R59" s="8">
        <f>INDEX(Hedef!$C$17:$C$21,Kanit!R59+1)</f>
        <v>0.5</v>
      </c>
      <c r="S59" s="8">
        <f>INDEX(Hedef!$C$17:$C$21,Kanit!S59+1)</f>
        <v>0.3</v>
      </c>
      <c r="T59" s="8">
        <f>INDEX(Hedef!$C$17:$C$21,Kanit!T59+1)</f>
        <v>0.5</v>
      </c>
      <c r="U59" s="8">
        <f>INDEX(Hedef!$C$17:$C$21,Kanit!U59+1)</f>
        <v>0.3</v>
      </c>
      <c r="V59" s="8">
        <f>INDEX(Hedef!$C$17:$C$21,Kanit!V59+1)</f>
        <v>0.3</v>
      </c>
      <c r="W59" s="8">
        <f>INDEX(Hedef!$C$17:$C$21,Kanit!W59+1)</f>
        <v>0.3</v>
      </c>
      <c r="X59" s="8">
        <f>INDEX(Hedef!$C$17:$C$21,Kanit!X59+1)</f>
        <v>0.5</v>
      </c>
      <c r="Y59" s="8">
        <f>INDEX(Hedef!$C$17:$C$21,Kanit!Y59+1)</f>
        <v>0.5</v>
      </c>
      <c r="Z59" s="8">
        <f>INDEX(Hedef!$C$17:$C$21,Kanit!Z59+1)</f>
        <v>0.3</v>
      </c>
      <c r="AA59" s="8">
        <f>INDEX(Hedef!$C$17:$C$21,Kanit!AA59+1)</f>
        <v>0.3</v>
      </c>
      <c r="AB59" s="8">
        <f>INDEX(Hedef!$C$17:$C$21,Kanit!AB59+1)</f>
        <v>0.3</v>
      </c>
      <c r="AD59" s="8">
        <f>INDEX(Hedef!$C$17:$C$21,Kanit!AD59+1)</f>
        <v>0.5</v>
      </c>
      <c r="AE59" s="8">
        <f>INDEX(Hedef!$C$17:$C$21,Kanit!AE59+1)</f>
        <v>0.5</v>
      </c>
      <c r="AF59" s="8">
        <f>INDEX(Hedef!$C$17:$C$21,Kanit!AF59+1)</f>
        <v>0.3</v>
      </c>
      <c r="AG59" s="8">
        <f>INDEX(Hedef!$C$17:$C$21,Kanit!AG59+1)</f>
        <v>0.3</v>
      </c>
    </row>
    <row r="60">
      <c r="A60" s="7" t="str">
        <f>Secenekler!A60</f>
        <v>actionplan-b</v>
      </c>
      <c r="B60" s="7" t="str">
        <f>Secenekler!C60</f>
        <v>Teslim kabul kurulumu: sürümlü kapsam ve kanıt paketi</v>
      </c>
      <c r="C60" s="8">
        <f>INDEX(Hedef!$C$17:$C$21,Kanit!C60+1)</f>
        <v>0.3</v>
      </c>
      <c r="D60" s="8">
        <f>INDEX(Hedef!$C$17:$C$21,Kanit!D60+1)</f>
        <v>0.3</v>
      </c>
      <c r="E60" s="8">
        <f>INDEX(Hedef!$C$17:$C$21,Kanit!E60+1)</f>
        <v>0.3</v>
      </c>
      <c r="F60" s="8">
        <f>INDEX(Hedef!$C$17:$C$21,Kanit!F60+1)</f>
        <v>0.5</v>
      </c>
      <c r="G60" s="8">
        <f>INDEX(Hedef!$C$17:$C$21,Kanit!G60+1)</f>
        <v>0.3</v>
      </c>
      <c r="H60" s="8">
        <f>INDEX(Hedef!$C$17:$C$21,Kanit!H60+1)</f>
        <v>0.3</v>
      </c>
      <c r="I60" s="8">
        <f>INDEX(Hedef!$C$17:$C$21,Kanit!I60+1)</f>
        <v>0.3</v>
      </c>
      <c r="J60" s="8">
        <f>INDEX(Hedef!$C$17:$C$21,Kanit!J60+1)</f>
        <v>0.3</v>
      </c>
      <c r="K60" s="8">
        <f>INDEX(Hedef!$C$17:$C$21,Kanit!K60+1)</f>
        <v>0.3</v>
      </c>
      <c r="L60" s="8">
        <f>INDEX(Hedef!$C$17:$C$21,Kanit!L60+1)</f>
        <v>0.3</v>
      </c>
      <c r="M60" s="8">
        <f>INDEX(Hedef!$C$17:$C$21,Kanit!M60+1)</f>
        <v>0.3</v>
      </c>
      <c r="N60" s="8">
        <f>INDEX(Hedef!$C$17:$C$21,Kanit!N60+1)</f>
        <v>0.3</v>
      </c>
      <c r="O60" s="8">
        <f>INDEX(Hedef!$C$17:$C$21,Kanit!O60+1)</f>
        <v>0.3</v>
      </c>
      <c r="P60" s="8">
        <f>INDEX(Hedef!$C$17:$C$21,Kanit!P60+1)</f>
        <v>0.3</v>
      </c>
      <c r="Q60" s="8">
        <f>INDEX(Hedef!$C$17:$C$21,Kanit!Q60+1)</f>
        <v>0.3</v>
      </c>
      <c r="R60" s="8">
        <f>INDEX(Hedef!$C$17:$C$21,Kanit!R60+1)</f>
        <v>0.3</v>
      </c>
      <c r="S60" s="8">
        <f>INDEX(Hedef!$C$17:$C$21,Kanit!S60+1)</f>
        <v>0.3</v>
      </c>
      <c r="T60" s="8">
        <f>INDEX(Hedef!$C$17:$C$21,Kanit!T60+1)</f>
        <v>0.3</v>
      </c>
      <c r="U60" s="8">
        <f>INDEX(Hedef!$C$17:$C$21,Kanit!U60+1)</f>
        <v>0.3</v>
      </c>
      <c r="V60" s="8">
        <f>INDEX(Hedef!$C$17:$C$21,Kanit!V60+1)</f>
        <v>0.3</v>
      </c>
      <c r="W60" s="8">
        <f>INDEX(Hedef!$C$17:$C$21,Kanit!W60+1)</f>
        <v>0.3</v>
      </c>
      <c r="X60" s="8">
        <f>INDEX(Hedef!$C$17:$C$21,Kanit!X60+1)</f>
        <v>0.3</v>
      </c>
      <c r="Y60" s="8">
        <f>INDEX(Hedef!$C$17:$C$21,Kanit!Y60+1)</f>
        <v>0.5</v>
      </c>
      <c r="Z60" s="8">
        <f>INDEX(Hedef!$C$17:$C$21,Kanit!Z60+1)</f>
        <v>0.3</v>
      </c>
      <c r="AA60" s="8">
        <f>INDEX(Hedef!$C$17:$C$21,Kanit!AA60+1)</f>
        <v>0.3</v>
      </c>
      <c r="AB60" s="8">
        <f>INDEX(Hedef!$C$17:$C$21,Kanit!AB60+1)</f>
        <v>0.3</v>
      </c>
      <c r="AD60" s="8">
        <f>INDEX(Hedef!$C$17:$C$21,Kanit!AD60+1)</f>
        <v>0.3</v>
      </c>
      <c r="AE60" s="8">
        <f>INDEX(Hedef!$C$17:$C$21,Kanit!AE60+1)</f>
        <v>0.3</v>
      </c>
      <c r="AF60" s="8">
        <f>INDEX(Hedef!$C$17:$C$21,Kanit!AF60+1)</f>
        <v>0.3</v>
      </c>
      <c r="AG60" s="8">
        <f>INDEX(Hedef!$C$17:$C$21,Kanit!AG60+1)</f>
        <v>0.3</v>
      </c>
    </row>
    <row r="61">
      <c r="A61" s="7" t="str">
        <f>Secenekler!A61</f>
        <v>actionplan-c</v>
      </c>
      <c r="B61" s="7" t="str">
        <f>Secenekler!C61</f>
        <v>Türkçe ajan görev şablon paketi</v>
      </c>
      <c r="C61" s="8">
        <f>INDEX(Hedef!$C$17:$C$21,Kanit!C61+1)</f>
        <v>0.3</v>
      </c>
      <c r="D61" s="8">
        <f>INDEX(Hedef!$C$17:$C$21,Kanit!D61+1)</f>
        <v>0.3</v>
      </c>
      <c r="E61" s="8">
        <f>INDEX(Hedef!$C$17:$C$21,Kanit!E61+1)</f>
        <v>0.3</v>
      </c>
      <c r="F61" s="8">
        <f>INDEX(Hedef!$C$17:$C$21,Kanit!F61+1)</f>
        <v>0.5</v>
      </c>
      <c r="G61" s="8">
        <f>INDEX(Hedef!$C$17:$C$21,Kanit!G61+1)</f>
        <v>0.3</v>
      </c>
      <c r="H61" s="8">
        <f>INDEX(Hedef!$C$17:$C$21,Kanit!H61+1)</f>
        <v>0.3</v>
      </c>
      <c r="I61" s="8">
        <f>INDEX(Hedef!$C$17:$C$21,Kanit!I61+1)</f>
        <v>0.3</v>
      </c>
      <c r="J61" s="8">
        <f>INDEX(Hedef!$C$17:$C$21,Kanit!J61+1)</f>
        <v>0.3</v>
      </c>
      <c r="K61" s="8">
        <f>INDEX(Hedef!$C$17:$C$21,Kanit!K61+1)</f>
        <v>0.3</v>
      </c>
      <c r="L61" s="8">
        <f>INDEX(Hedef!$C$17:$C$21,Kanit!L61+1)</f>
        <v>0.3</v>
      </c>
      <c r="M61" s="8">
        <f>INDEX(Hedef!$C$17:$C$21,Kanit!M61+1)</f>
        <v>0.3</v>
      </c>
      <c r="N61" s="8">
        <f>INDEX(Hedef!$C$17:$C$21,Kanit!N61+1)</f>
        <v>0.3</v>
      </c>
      <c r="O61" s="8">
        <f>INDEX(Hedef!$C$17:$C$21,Kanit!O61+1)</f>
        <v>0.3</v>
      </c>
      <c r="P61" s="8">
        <f>INDEX(Hedef!$C$17:$C$21,Kanit!P61+1)</f>
        <v>0.3</v>
      </c>
      <c r="Q61" s="8">
        <f>INDEX(Hedef!$C$17:$C$21,Kanit!Q61+1)</f>
        <v>0.3</v>
      </c>
      <c r="R61" s="8">
        <f>INDEX(Hedef!$C$17:$C$21,Kanit!R61+1)</f>
        <v>0.3</v>
      </c>
      <c r="S61" s="8">
        <f>INDEX(Hedef!$C$17:$C$21,Kanit!S61+1)</f>
        <v>0.3</v>
      </c>
      <c r="T61" s="8">
        <f>INDEX(Hedef!$C$17:$C$21,Kanit!T61+1)</f>
        <v>0.3</v>
      </c>
      <c r="U61" s="8">
        <f>INDEX(Hedef!$C$17:$C$21,Kanit!U61+1)</f>
        <v>0.3</v>
      </c>
      <c r="V61" s="8">
        <f>INDEX(Hedef!$C$17:$C$21,Kanit!V61+1)</f>
        <v>0.3</v>
      </c>
      <c r="W61" s="8">
        <f>INDEX(Hedef!$C$17:$C$21,Kanit!W61+1)</f>
        <v>0.3</v>
      </c>
      <c r="X61" s="8">
        <f>INDEX(Hedef!$C$17:$C$21,Kanit!X61+1)</f>
        <v>0.3</v>
      </c>
      <c r="Y61" s="8">
        <f>INDEX(Hedef!$C$17:$C$21,Kanit!Y61+1)</f>
        <v>0.5</v>
      </c>
      <c r="Z61" s="8">
        <f>INDEX(Hedef!$C$17:$C$21,Kanit!Z61+1)</f>
        <v>0.3</v>
      </c>
      <c r="AA61" s="8">
        <f>INDEX(Hedef!$C$17:$C$21,Kanit!AA61+1)</f>
        <v>0.3</v>
      </c>
      <c r="AB61" s="8">
        <f>INDEX(Hedef!$C$17:$C$21,Kanit!AB61+1)</f>
        <v>0.3</v>
      </c>
      <c r="AD61" s="8">
        <f>INDEX(Hedef!$C$17:$C$21,Kanit!AD61+1)</f>
        <v>0.5</v>
      </c>
      <c r="AE61" s="8">
        <f>INDEX(Hedef!$C$17:$C$21,Kanit!AE61+1)</f>
        <v>0.5</v>
      </c>
      <c r="AF61" s="8">
        <f>INDEX(Hedef!$C$17:$C$21,Kanit!AF61+1)</f>
        <v>0.3</v>
      </c>
      <c r="AG61" s="8">
        <f>INDEX(Hedef!$C$17:$C$21,Kanit!AG61+1)</f>
        <v>0.3</v>
      </c>
    </row>
    <row r="62">
      <c r="A62" s="7" t="str">
        <f>Secenekler!A62</f>
        <v>ajan-gozlem-paneli-a</v>
      </c>
      <c r="B62" s="7" t="str">
        <f>Secenekler!C62</f>
        <v>Koruyucu Pro içinde Gözlem Paneli (tek seferlik lisans)</v>
      </c>
      <c r="C62" s="8">
        <f>INDEX(Hedef!$C$17:$C$21,Kanit!C62+1)</f>
        <v>0.5</v>
      </c>
      <c r="D62" s="8">
        <f>INDEX(Hedef!$C$17:$C$21,Kanit!D62+1)</f>
        <v>0.3</v>
      </c>
      <c r="E62" s="8">
        <f>INDEX(Hedef!$C$17:$C$21,Kanit!E62+1)</f>
        <v>0.5</v>
      </c>
      <c r="F62" s="8">
        <f>INDEX(Hedef!$C$17:$C$21,Kanit!F62+1)</f>
        <v>0.5</v>
      </c>
      <c r="G62" s="8">
        <f>INDEX(Hedef!$C$17:$C$21,Kanit!G62+1)</f>
        <v>0.3</v>
      </c>
      <c r="H62" s="8">
        <f>INDEX(Hedef!$C$17:$C$21,Kanit!H62+1)</f>
        <v>0.5</v>
      </c>
      <c r="I62" s="8">
        <f>INDEX(Hedef!$C$17:$C$21,Kanit!I62+1)</f>
        <v>0.3</v>
      </c>
      <c r="J62" s="8">
        <f>INDEX(Hedef!$C$17:$C$21,Kanit!J62+1)</f>
        <v>0.5</v>
      </c>
      <c r="K62" s="8">
        <f>INDEX(Hedef!$C$17:$C$21,Kanit!K62+1)</f>
        <v>0.3</v>
      </c>
      <c r="L62" s="8">
        <f>INDEX(Hedef!$C$17:$C$21,Kanit!L62+1)</f>
        <v>0.3</v>
      </c>
      <c r="M62" s="8">
        <f>INDEX(Hedef!$C$17:$C$21,Kanit!M62+1)</f>
        <v>0.3</v>
      </c>
      <c r="N62" s="8">
        <f>INDEX(Hedef!$C$17:$C$21,Kanit!N62+1)</f>
        <v>0.3</v>
      </c>
      <c r="O62" s="8">
        <f>INDEX(Hedef!$C$17:$C$21,Kanit!O62+1)</f>
        <v>0.3</v>
      </c>
      <c r="P62" s="8">
        <f>INDEX(Hedef!$C$17:$C$21,Kanit!P62+1)</f>
        <v>0.3</v>
      </c>
      <c r="Q62" s="8">
        <f>INDEX(Hedef!$C$17:$C$21,Kanit!Q62+1)</f>
        <v>0.3</v>
      </c>
      <c r="R62" s="8">
        <f>INDEX(Hedef!$C$17:$C$21,Kanit!R62+1)</f>
        <v>0.3</v>
      </c>
      <c r="S62" s="8">
        <f>INDEX(Hedef!$C$17:$C$21,Kanit!S62+1)</f>
        <v>0.3</v>
      </c>
      <c r="T62" s="8">
        <f>INDEX(Hedef!$C$17:$C$21,Kanit!T62+1)</f>
        <v>0.3</v>
      </c>
      <c r="U62" s="8">
        <f>INDEX(Hedef!$C$17:$C$21,Kanit!U62+1)</f>
        <v>0.5</v>
      </c>
      <c r="V62" s="8">
        <f>INDEX(Hedef!$C$17:$C$21,Kanit!V62+1)</f>
        <v>0.3</v>
      </c>
      <c r="W62" s="8">
        <f>INDEX(Hedef!$C$17:$C$21,Kanit!W62+1)</f>
        <v>0.3</v>
      </c>
      <c r="X62" s="8">
        <f>INDEX(Hedef!$C$17:$C$21,Kanit!X62+1)</f>
        <v>0.3</v>
      </c>
      <c r="Y62" s="8">
        <f>INDEX(Hedef!$C$17:$C$21,Kanit!Y62+1)</f>
        <v>0.5</v>
      </c>
      <c r="Z62" s="8">
        <f>INDEX(Hedef!$C$17:$C$21,Kanit!Z62+1)</f>
        <v>0.3</v>
      </c>
      <c r="AA62" s="8">
        <f>INDEX(Hedef!$C$17:$C$21,Kanit!AA62+1)</f>
        <v>0.3</v>
      </c>
      <c r="AB62" s="8">
        <f>INDEX(Hedef!$C$17:$C$21,Kanit!AB62+1)</f>
        <v>0.3</v>
      </c>
      <c r="AD62" s="8">
        <f>INDEX(Hedef!$C$17:$C$21,Kanit!AD62+1)</f>
        <v>0.3</v>
      </c>
      <c r="AE62" s="8">
        <f>INDEX(Hedef!$C$17:$C$21,Kanit!AE62+1)</f>
        <v>0.5</v>
      </c>
      <c r="AF62" s="8">
        <f>INDEX(Hedef!$C$17:$C$21,Kanit!AF62+1)</f>
        <v>0.3</v>
      </c>
      <c r="AG62" s="8">
        <f>INDEX(Hedef!$C$17:$C$21,Kanit!AG62+1)</f>
        <v>0.3</v>
      </c>
    </row>
    <row r="63">
      <c r="A63" s="7" t="str">
        <f>Secenekler!A63</f>
        <v>ajan-gozlem-paneli-b</v>
      </c>
      <c r="B63" s="7" t="str">
        <f>Secenekler!C63</f>
        <v>Ajanslar için aylık proje bazlı yapay zekâ maliyet raporu</v>
      </c>
      <c r="C63" s="8">
        <f>INDEX(Hedef!$C$17:$C$21,Kanit!C63+1)</f>
        <v>0.3</v>
      </c>
      <c r="D63" s="8">
        <f>INDEX(Hedef!$C$17:$C$21,Kanit!D63+1)</f>
        <v>0.3</v>
      </c>
      <c r="E63" s="8">
        <f>INDEX(Hedef!$C$17:$C$21,Kanit!E63+1)</f>
        <v>0.3</v>
      </c>
      <c r="F63" s="8">
        <f>INDEX(Hedef!$C$17:$C$21,Kanit!F63+1)</f>
        <v>0.3</v>
      </c>
      <c r="G63" s="8">
        <f>INDEX(Hedef!$C$17:$C$21,Kanit!G63+1)</f>
        <v>0.3</v>
      </c>
      <c r="H63" s="8">
        <f>INDEX(Hedef!$C$17:$C$21,Kanit!H63+1)</f>
        <v>0.3</v>
      </c>
      <c r="I63" s="8">
        <f>INDEX(Hedef!$C$17:$C$21,Kanit!I63+1)</f>
        <v>0.3</v>
      </c>
      <c r="J63" s="8">
        <f>INDEX(Hedef!$C$17:$C$21,Kanit!J63+1)</f>
        <v>0.3</v>
      </c>
      <c r="K63" s="8">
        <f>INDEX(Hedef!$C$17:$C$21,Kanit!K63+1)</f>
        <v>0.3</v>
      </c>
      <c r="L63" s="8">
        <f>INDEX(Hedef!$C$17:$C$21,Kanit!L63+1)</f>
        <v>0.3</v>
      </c>
      <c r="M63" s="8">
        <f>INDEX(Hedef!$C$17:$C$21,Kanit!M63+1)</f>
        <v>0.3</v>
      </c>
      <c r="N63" s="8">
        <f>INDEX(Hedef!$C$17:$C$21,Kanit!N63+1)</f>
        <v>0.3</v>
      </c>
      <c r="O63" s="8">
        <f>INDEX(Hedef!$C$17:$C$21,Kanit!O63+1)</f>
        <v>0.3</v>
      </c>
      <c r="P63" s="8">
        <f>INDEX(Hedef!$C$17:$C$21,Kanit!P63+1)</f>
        <v>0.3</v>
      </c>
      <c r="Q63" s="8">
        <f>INDEX(Hedef!$C$17:$C$21,Kanit!Q63+1)</f>
        <v>0.3</v>
      </c>
      <c r="R63" s="8">
        <f>INDEX(Hedef!$C$17:$C$21,Kanit!R63+1)</f>
        <v>0.3</v>
      </c>
      <c r="S63" s="8">
        <f>INDEX(Hedef!$C$17:$C$21,Kanit!S63+1)</f>
        <v>0.3</v>
      </c>
      <c r="T63" s="8">
        <f>INDEX(Hedef!$C$17:$C$21,Kanit!T63+1)</f>
        <v>0.3</v>
      </c>
      <c r="U63" s="8">
        <f>INDEX(Hedef!$C$17:$C$21,Kanit!U63+1)</f>
        <v>0.3</v>
      </c>
      <c r="V63" s="8">
        <f>INDEX(Hedef!$C$17:$C$21,Kanit!V63+1)</f>
        <v>0.3</v>
      </c>
      <c r="W63" s="8">
        <f>INDEX(Hedef!$C$17:$C$21,Kanit!W63+1)</f>
        <v>0.3</v>
      </c>
      <c r="X63" s="8">
        <f>INDEX(Hedef!$C$17:$C$21,Kanit!X63+1)</f>
        <v>0.3</v>
      </c>
      <c r="Y63" s="8">
        <f>INDEX(Hedef!$C$17:$C$21,Kanit!Y63+1)</f>
        <v>0.5</v>
      </c>
      <c r="Z63" s="8">
        <f>INDEX(Hedef!$C$17:$C$21,Kanit!Z63+1)</f>
        <v>0.3</v>
      </c>
      <c r="AA63" s="8">
        <f>INDEX(Hedef!$C$17:$C$21,Kanit!AA63+1)</f>
        <v>0.3</v>
      </c>
      <c r="AB63" s="8">
        <f>INDEX(Hedef!$C$17:$C$21,Kanit!AB63+1)</f>
        <v>0.3</v>
      </c>
      <c r="AD63" s="8">
        <f>INDEX(Hedef!$C$17:$C$21,Kanit!AD63+1)</f>
        <v>0.3</v>
      </c>
      <c r="AE63" s="8">
        <f>INDEX(Hedef!$C$17:$C$21,Kanit!AE63+1)</f>
        <v>0.5</v>
      </c>
      <c r="AF63" s="8">
        <f>INDEX(Hedef!$C$17:$C$21,Kanit!AF63+1)</f>
        <v>0.3</v>
      </c>
      <c r="AG63" s="8">
        <f>INDEX(Hedef!$C$17:$C$21,Kanit!AG63+1)</f>
        <v>0.3</v>
      </c>
    </row>
    <row r="64">
      <c r="A64" s="7" t="str">
        <f>Secenekler!A64</f>
        <v>ajan-gozlem-paneli-c</v>
      </c>
      <c r="B64" s="7" t="str">
        <f>Secenekler!C64</f>
        <v>Yapay zekâ iş izleme kartı kurulum paketi</v>
      </c>
      <c r="C64" s="8">
        <f>INDEX(Hedef!$C$17:$C$21,Kanit!C64+1)</f>
        <v>0.3</v>
      </c>
      <c r="D64" s="8">
        <f>INDEX(Hedef!$C$17:$C$21,Kanit!D64+1)</f>
        <v>0.3</v>
      </c>
      <c r="E64" s="8">
        <f>INDEX(Hedef!$C$17:$C$21,Kanit!E64+1)</f>
        <v>0.3</v>
      </c>
      <c r="F64" s="8">
        <f>INDEX(Hedef!$C$17:$C$21,Kanit!F64+1)</f>
        <v>0.3</v>
      </c>
      <c r="G64" s="8">
        <f>INDEX(Hedef!$C$17:$C$21,Kanit!G64+1)</f>
        <v>0.3</v>
      </c>
      <c r="H64" s="8">
        <f>INDEX(Hedef!$C$17:$C$21,Kanit!H64+1)</f>
        <v>0.3</v>
      </c>
      <c r="I64" s="8">
        <f>INDEX(Hedef!$C$17:$C$21,Kanit!I64+1)</f>
        <v>0.3</v>
      </c>
      <c r="J64" s="8">
        <f>INDEX(Hedef!$C$17:$C$21,Kanit!J64+1)</f>
        <v>0.3</v>
      </c>
      <c r="K64" s="8">
        <f>INDEX(Hedef!$C$17:$C$21,Kanit!K64+1)</f>
        <v>0.3</v>
      </c>
      <c r="L64" s="8">
        <f>INDEX(Hedef!$C$17:$C$21,Kanit!L64+1)</f>
        <v>0.3</v>
      </c>
      <c r="M64" s="8">
        <f>INDEX(Hedef!$C$17:$C$21,Kanit!M64+1)</f>
        <v>0.3</v>
      </c>
      <c r="N64" s="8">
        <f>INDEX(Hedef!$C$17:$C$21,Kanit!N64+1)</f>
        <v>0.3</v>
      </c>
      <c r="O64" s="8">
        <f>INDEX(Hedef!$C$17:$C$21,Kanit!O64+1)</f>
        <v>0.3</v>
      </c>
      <c r="P64" s="8">
        <f>INDEX(Hedef!$C$17:$C$21,Kanit!P64+1)</f>
        <v>0.3</v>
      </c>
      <c r="Q64" s="8">
        <f>INDEX(Hedef!$C$17:$C$21,Kanit!Q64+1)</f>
        <v>0.3</v>
      </c>
      <c r="R64" s="8">
        <f>INDEX(Hedef!$C$17:$C$21,Kanit!R64+1)</f>
        <v>0.3</v>
      </c>
      <c r="S64" s="8">
        <f>INDEX(Hedef!$C$17:$C$21,Kanit!S64+1)</f>
        <v>0.3</v>
      </c>
      <c r="T64" s="8">
        <f>INDEX(Hedef!$C$17:$C$21,Kanit!T64+1)</f>
        <v>0.3</v>
      </c>
      <c r="U64" s="8">
        <f>INDEX(Hedef!$C$17:$C$21,Kanit!U64+1)</f>
        <v>0.3</v>
      </c>
      <c r="V64" s="8">
        <f>INDEX(Hedef!$C$17:$C$21,Kanit!V64+1)</f>
        <v>0.3</v>
      </c>
      <c r="W64" s="8">
        <f>INDEX(Hedef!$C$17:$C$21,Kanit!W64+1)</f>
        <v>0.3</v>
      </c>
      <c r="X64" s="8">
        <f>INDEX(Hedef!$C$17:$C$21,Kanit!X64+1)</f>
        <v>0.3</v>
      </c>
      <c r="Y64" s="8">
        <f>INDEX(Hedef!$C$17:$C$21,Kanit!Y64+1)</f>
        <v>0.3</v>
      </c>
      <c r="Z64" s="8">
        <f>INDEX(Hedef!$C$17:$C$21,Kanit!Z64+1)</f>
        <v>0.3</v>
      </c>
      <c r="AA64" s="8">
        <f>INDEX(Hedef!$C$17:$C$21,Kanit!AA64+1)</f>
        <v>0.3</v>
      </c>
      <c r="AB64" s="8">
        <f>INDEX(Hedef!$C$17:$C$21,Kanit!AB64+1)</f>
        <v>0.3</v>
      </c>
      <c r="AD64" s="8">
        <f>INDEX(Hedef!$C$17:$C$21,Kanit!AD64+1)</f>
        <v>0.3</v>
      </c>
      <c r="AE64" s="8">
        <f>INDEX(Hedef!$C$17:$C$21,Kanit!AE64+1)</f>
        <v>0.3</v>
      </c>
      <c r="AF64" s="8">
        <f>INDEX(Hedef!$C$17:$C$21,Kanit!AF64+1)</f>
        <v>0.3</v>
      </c>
      <c r="AG64" s="8">
        <f>INDEX(Hedef!$C$17:$C$21,Kanit!AG64+1)</f>
        <v>0.3</v>
      </c>
    </row>
    <row r="65">
      <c r="A65" s="7" t="str">
        <f>Secenekler!A65</f>
        <v>ai-first-tasarim-a</v>
      </c>
      <c r="B65" s="7" t="str">
        <f>Secenekler!C65</f>
        <v>Türkçe yapay zekâ öncelikli tasarım sistemi rehberi (e-kitap)</v>
      </c>
      <c r="C65" s="8">
        <f>INDEX(Hedef!$C$17:$C$21,Kanit!C65+1)</f>
        <v>0.3</v>
      </c>
      <c r="D65" s="8">
        <f>INDEX(Hedef!$C$17:$C$21,Kanit!D65+1)</f>
        <v>0.3</v>
      </c>
      <c r="E65" s="8">
        <f>INDEX(Hedef!$C$17:$C$21,Kanit!E65+1)</f>
        <v>0.5</v>
      </c>
      <c r="F65" s="8">
        <f>INDEX(Hedef!$C$17:$C$21,Kanit!F65+1)</f>
        <v>0.5</v>
      </c>
      <c r="G65" s="8">
        <f>INDEX(Hedef!$C$17:$C$21,Kanit!G65+1)</f>
        <v>0.3</v>
      </c>
      <c r="H65" s="8">
        <f>INDEX(Hedef!$C$17:$C$21,Kanit!H65+1)</f>
        <v>0.5</v>
      </c>
      <c r="I65" s="8">
        <f>INDEX(Hedef!$C$17:$C$21,Kanit!I65+1)</f>
        <v>0.5</v>
      </c>
      <c r="J65" s="8">
        <f>INDEX(Hedef!$C$17:$C$21,Kanit!J65+1)</f>
        <v>0.3</v>
      </c>
      <c r="K65" s="8">
        <f>INDEX(Hedef!$C$17:$C$21,Kanit!K65+1)</f>
        <v>0.3</v>
      </c>
      <c r="L65" s="8">
        <f>INDEX(Hedef!$C$17:$C$21,Kanit!L65+1)</f>
        <v>0.3</v>
      </c>
      <c r="M65" s="8">
        <f>INDEX(Hedef!$C$17:$C$21,Kanit!M65+1)</f>
        <v>0.3</v>
      </c>
      <c r="N65" s="8">
        <f>INDEX(Hedef!$C$17:$C$21,Kanit!N65+1)</f>
        <v>0.3</v>
      </c>
      <c r="O65" s="8">
        <f>INDEX(Hedef!$C$17:$C$21,Kanit!O65+1)</f>
        <v>0.3</v>
      </c>
      <c r="P65" s="8">
        <f>INDEX(Hedef!$C$17:$C$21,Kanit!P65+1)</f>
        <v>0.3</v>
      </c>
      <c r="Q65" s="8">
        <f>INDEX(Hedef!$C$17:$C$21,Kanit!Q65+1)</f>
        <v>0.3</v>
      </c>
      <c r="R65" s="8">
        <f>INDEX(Hedef!$C$17:$C$21,Kanit!R65+1)</f>
        <v>0.3</v>
      </c>
      <c r="S65" s="8">
        <f>INDEX(Hedef!$C$17:$C$21,Kanit!S65+1)</f>
        <v>0.3</v>
      </c>
      <c r="T65" s="8">
        <f>INDEX(Hedef!$C$17:$C$21,Kanit!T65+1)</f>
        <v>0.3</v>
      </c>
      <c r="U65" s="8">
        <f>INDEX(Hedef!$C$17:$C$21,Kanit!U65+1)</f>
        <v>0.5</v>
      </c>
      <c r="V65" s="8">
        <f>INDEX(Hedef!$C$17:$C$21,Kanit!V65+1)</f>
        <v>0.3</v>
      </c>
      <c r="W65" s="8">
        <f>INDEX(Hedef!$C$17:$C$21,Kanit!W65+1)</f>
        <v>0.3</v>
      </c>
      <c r="X65" s="8">
        <f>INDEX(Hedef!$C$17:$C$21,Kanit!X65+1)</f>
        <v>0.3</v>
      </c>
      <c r="Y65" s="8">
        <f>INDEX(Hedef!$C$17:$C$21,Kanit!Y65+1)</f>
        <v>0.5</v>
      </c>
      <c r="Z65" s="8">
        <f>INDEX(Hedef!$C$17:$C$21,Kanit!Z65+1)</f>
        <v>0.3</v>
      </c>
      <c r="AA65" s="8">
        <f>INDEX(Hedef!$C$17:$C$21,Kanit!AA65+1)</f>
        <v>0.3</v>
      </c>
      <c r="AB65" s="8">
        <f>INDEX(Hedef!$C$17:$C$21,Kanit!AB65+1)</f>
        <v>0.3</v>
      </c>
      <c r="AD65" s="8">
        <f>INDEX(Hedef!$C$17:$C$21,Kanit!AD65+1)</f>
        <v>0.5</v>
      </c>
      <c r="AE65" s="8">
        <f>INDEX(Hedef!$C$17:$C$21,Kanit!AE65+1)</f>
        <v>0.3</v>
      </c>
      <c r="AF65" s="8">
        <f>INDEX(Hedef!$C$17:$C$21,Kanit!AF65+1)</f>
        <v>0.3</v>
      </c>
      <c r="AG65" s="8">
        <f>INDEX(Hedef!$C$17:$C$21,Kanit!AG65+1)</f>
        <v>0.3</v>
      </c>
    </row>
    <row r="66">
      <c r="A66" s="7" t="str">
        <f>Secenekler!A66</f>
        <v>ai-first-tasarim-b</v>
      </c>
      <c r="B66" s="7" t="str">
        <f>Secenekler!C66</f>
        <v>Ekip atölyesi ve 2 haftalık tasarım sistemi kurulumu</v>
      </c>
      <c r="C66" s="8">
        <f>INDEX(Hedef!$C$17:$C$21,Kanit!C66+1)</f>
        <v>0.3</v>
      </c>
      <c r="D66" s="8">
        <f>INDEX(Hedef!$C$17:$C$21,Kanit!D66+1)</f>
        <v>0.3</v>
      </c>
      <c r="E66" s="8">
        <f>INDEX(Hedef!$C$17:$C$21,Kanit!E66+1)</f>
        <v>0.3</v>
      </c>
      <c r="F66" s="8">
        <f>INDEX(Hedef!$C$17:$C$21,Kanit!F66+1)</f>
        <v>0.3</v>
      </c>
      <c r="G66" s="8">
        <f>INDEX(Hedef!$C$17:$C$21,Kanit!G66+1)</f>
        <v>0.3</v>
      </c>
      <c r="H66" s="8">
        <f>INDEX(Hedef!$C$17:$C$21,Kanit!H66+1)</f>
        <v>0.3</v>
      </c>
      <c r="I66" s="8">
        <f>INDEX(Hedef!$C$17:$C$21,Kanit!I66+1)</f>
        <v>0.5</v>
      </c>
      <c r="J66" s="8">
        <f>INDEX(Hedef!$C$17:$C$21,Kanit!J66+1)</f>
        <v>0.3</v>
      </c>
      <c r="K66" s="8">
        <f>INDEX(Hedef!$C$17:$C$21,Kanit!K66+1)</f>
        <v>0.3</v>
      </c>
      <c r="L66" s="8">
        <f>INDEX(Hedef!$C$17:$C$21,Kanit!L66+1)</f>
        <v>0.3</v>
      </c>
      <c r="M66" s="8">
        <f>INDEX(Hedef!$C$17:$C$21,Kanit!M66+1)</f>
        <v>0.3</v>
      </c>
      <c r="N66" s="8">
        <f>INDEX(Hedef!$C$17:$C$21,Kanit!N66+1)</f>
        <v>0.3</v>
      </c>
      <c r="O66" s="8">
        <f>INDEX(Hedef!$C$17:$C$21,Kanit!O66+1)</f>
        <v>0.3</v>
      </c>
      <c r="P66" s="8">
        <f>INDEX(Hedef!$C$17:$C$21,Kanit!P66+1)</f>
        <v>0.3</v>
      </c>
      <c r="Q66" s="8">
        <f>INDEX(Hedef!$C$17:$C$21,Kanit!Q66+1)</f>
        <v>0.3</v>
      </c>
      <c r="R66" s="8">
        <f>INDEX(Hedef!$C$17:$C$21,Kanit!R66+1)</f>
        <v>0.3</v>
      </c>
      <c r="S66" s="8">
        <f>INDEX(Hedef!$C$17:$C$21,Kanit!S66+1)</f>
        <v>0.3</v>
      </c>
      <c r="T66" s="8">
        <f>INDEX(Hedef!$C$17:$C$21,Kanit!T66+1)</f>
        <v>0.3</v>
      </c>
      <c r="U66" s="8">
        <f>INDEX(Hedef!$C$17:$C$21,Kanit!U66+1)</f>
        <v>0.5</v>
      </c>
      <c r="V66" s="8">
        <f>INDEX(Hedef!$C$17:$C$21,Kanit!V66+1)</f>
        <v>0.3</v>
      </c>
      <c r="W66" s="8">
        <f>INDEX(Hedef!$C$17:$C$21,Kanit!W66+1)</f>
        <v>0.3</v>
      </c>
      <c r="X66" s="8">
        <f>INDEX(Hedef!$C$17:$C$21,Kanit!X66+1)</f>
        <v>0.3</v>
      </c>
      <c r="Y66" s="8">
        <f>INDEX(Hedef!$C$17:$C$21,Kanit!Y66+1)</f>
        <v>0.3</v>
      </c>
      <c r="Z66" s="8">
        <f>INDEX(Hedef!$C$17:$C$21,Kanit!Z66+1)</f>
        <v>0.3</v>
      </c>
      <c r="AA66" s="8">
        <f>INDEX(Hedef!$C$17:$C$21,Kanit!AA66+1)</f>
        <v>0.3</v>
      </c>
      <c r="AB66" s="8">
        <f>INDEX(Hedef!$C$17:$C$21,Kanit!AB66+1)</f>
        <v>0.3</v>
      </c>
      <c r="AD66" s="8">
        <f>INDEX(Hedef!$C$17:$C$21,Kanit!AD66+1)</f>
        <v>0.5</v>
      </c>
      <c r="AE66" s="8">
        <f>INDEX(Hedef!$C$17:$C$21,Kanit!AE66+1)</f>
        <v>0.3</v>
      </c>
      <c r="AF66" s="8">
        <f>INDEX(Hedef!$C$17:$C$21,Kanit!AF66+1)</f>
        <v>0.3</v>
      </c>
      <c r="AG66" s="8">
        <f>INDEX(Hedef!$C$17:$C$21,Kanit!AG66+1)</f>
        <v>0.3</v>
      </c>
    </row>
    <row r="67">
      <c r="A67" s="7" t="str">
        <f>Secenekler!A67</f>
        <v>ai-first-tasarim-c</v>
      </c>
      <c r="B67" s="7" t="str">
        <f>Secenekler!C67</f>
        <v>Ajansa sabit fiyatlı form ve tablo kabul dosyası paketi</v>
      </c>
      <c r="C67" s="8">
        <f>INDEX(Hedef!$C$17:$C$21,Kanit!C67+1)</f>
        <v>0.3</v>
      </c>
      <c r="D67" s="8">
        <f>INDEX(Hedef!$C$17:$C$21,Kanit!D67+1)</f>
        <v>0.3</v>
      </c>
      <c r="E67" s="8">
        <f>INDEX(Hedef!$C$17:$C$21,Kanit!E67+1)</f>
        <v>0.3</v>
      </c>
      <c r="F67" s="8">
        <f>INDEX(Hedef!$C$17:$C$21,Kanit!F67+1)</f>
        <v>0.3</v>
      </c>
      <c r="G67" s="8">
        <f>INDEX(Hedef!$C$17:$C$21,Kanit!G67+1)</f>
        <v>0.3</v>
      </c>
      <c r="H67" s="8">
        <f>INDEX(Hedef!$C$17:$C$21,Kanit!H67+1)</f>
        <v>0.3</v>
      </c>
      <c r="I67" s="8">
        <f>INDEX(Hedef!$C$17:$C$21,Kanit!I67+1)</f>
        <v>0.3</v>
      </c>
      <c r="J67" s="8">
        <f>INDEX(Hedef!$C$17:$C$21,Kanit!J67+1)</f>
        <v>0.3</v>
      </c>
      <c r="K67" s="8">
        <f>INDEX(Hedef!$C$17:$C$21,Kanit!K67+1)</f>
        <v>0.3</v>
      </c>
      <c r="L67" s="8">
        <f>INDEX(Hedef!$C$17:$C$21,Kanit!L67+1)</f>
        <v>0.3</v>
      </c>
      <c r="M67" s="8">
        <f>INDEX(Hedef!$C$17:$C$21,Kanit!M67+1)</f>
        <v>0.3</v>
      </c>
      <c r="N67" s="8">
        <f>INDEX(Hedef!$C$17:$C$21,Kanit!N67+1)</f>
        <v>0.3</v>
      </c>
      <c r="O67" s="8">
        <f>INDEX(Hedef!$C$17:$C$21,Kanit!O67+1)</f>
        <v>0.3</v>
      </c>
      <c r="P67" s="8">
        <f>INDEX(Hedef!$C$17:$C$21,Kanit!P67+1)</f>
        <v>0.3</v>
      </c>
      <c r="Q67" s="8">
        <f>INDEX(Hedef!$C$17:$C$21,Kanit!Q67+1)</f>
        <v>0.3</v>
      </c>
      <c r="R67" s="8">
        <f>INDEX(Hedef!$C$17:$C$21,Kanit!R67+1)</f>
        <v>0.3</v>
      </c>
      <c r="S67" s="8">
        <f>INDEX(Hedef!$C$17:$C$21,Kanit!S67+1)</f>
        <v>0.3</v>
      </c>
      <c r="T67" s="8">
        <f>INDEX(Hedef!$C$17:$C$21,Kanit!T67+1)</f>
        <v>0.3</v>
      </c>
      <c r="U67" s="8">
        <f>INDEX(Hedef!$C$17:$C$21,Kanit!U67+1)</f>
        <v>0.5</v>
      </c>
      <c r="V67" s="8">
        <f>INDEX(Hedef!$C$17:$C$21,Kanit!V67+1)</f>
        <v>0.3</v>
      </c>
      <c r="W67" s="8">
        <f>INDEX(Hedef!$C$17:$C$21,Kanit!W67+1)</f>
        <v>0.3</v>
      </c>
      <c r="X67" s="8">
        <f>INDEX(Hedef!$C$17:$C$21,Kanit!X67+1)</f>
        <v>0.3</v>
      </c>
      <c r="Y67" s="8">
        <f>INDEX(Hedef!$C$17:$C$21,Kanit!Y67+1)</f>
        <v>0.3</v>
      </c>
      <c r="Z67" s="8">
        <f>INDEX(Hedef!$C$17:$C$21,Kanit!Z67+1)</f>
        <v>0.3</v>
      </c>
      <c r="AA67" s="8">
        <f>INDEX(Hedef!$C$17:$C$21,Kanit!AA67+1)</f>
        <v>0.3</v>
      </c>
      <c r="AB67" s="8">
        <f>INDEX(Hedef!$C$17:$C$21,Kanit!AB67+1)</f>
        <v>0.3</v>
      </c>
      <c r="AD67" s="8">
        <f>INDEX(Hedef!$C$17:$C$21,Kanit!AD67+1)</f>
        <v>0.3</v>
      </c>
      <c r="AE67" s="8">
        <f>INDEX(Hedef!$C$17:$C$21,Kanit!AE67+1)</f>
        <v>0.3</v>
      </c>
      <c r="AF67" s="8">
        <f>INDEX(Hedef!$C$17:$C$21,Kanit!AF67+1)</f>
        <v>0.3</v>
      </c>
      <c r="AG67" s="8">
        <f>INDEX(Hedef!$C$17:$C$21,Kanit!AG67+1)</f>
        <v>0.3</v>
      </c>
    </row>
    <row r="68">
      <c r="A68" s="7" t="str">
        <f>Secenekler!A68</f>
        <v>aicommandcard-a</v>
      </c>
      <c r="B68" s="7" t="str">
        <f>Secenekler!C68</f>
        <v>QR menü ürününde AI asistan (₺999 plan katmanı)</v>
      </c>
      <c r="C68" s="8">
        <f>INDEX(Hedef!$C$17:$C$21,Kanit!C68+1)</f>
        <v>0.3</v>
      </c>
      <c r="D68" s="8">
        <f>INDEX(Hedef!$C$17:$C$21,Kanit!D68+1)</f>
        <v>0.3</v>
      </c>
      <c r="E68" s="8">
        <f>INDEX(Hedef!$C$17:$C$21,Kanit!E68+1)</f>
        <v>0.3</v>
      </c>
      <c r="F68" s="8">
        <f>INDEX(Hedef!$C$17:$C$21,Kanit!F68+1)</f>
        <v>0.5</v>
      </c>
      <c r="G68" s="8">
        <f>INDEX(Hedef!$C$17:$C$21,Kanit!G68+1)</f>
        <v>0.3</v>
      </c>
      <c r="H68" s="8">
        <f>INDEX(Hedef!$C$17:$C$21,Kanit!H68+1)</f>
        <v>0.3</v>
      </c>
      <c r="I68" s="8">
        <f>INDEX(Hedef!$C$17:$C$21,Kanit!I68+1)</f>
        <v>0.5</v>
      </c>
      <c r="J68" s="8">
        <f>INDEX(Hedef!$C$17:$C$21,Kanit!J68+1)</f>
        <v>0.3</v>
      </c>
      <c r="K68" s="8">
        <f>INDEX(Hedef!$C$17:$C$21,Kanit!K68+1)</f>
        <v>0.3</v>
      </c>
      <c r="L68" s="8">
        <f>INDEX(Hedef!$C$17:$C$21,Kanit!L68+1)</f>
        <v>0.3</v>
      </c>
      <c r="M68" s="8">
        <f>INDEX(Hedef!$C$17:$C$21,Kanit!M68+1)</f>
        <v>0.5</v>
      </c>
      <c r="N68" s="8">
        <f>INDEX(Hedef!$C$17:$C$21,Kanit!N68+1)</f>
        <v>0.5</v>
      </c>
      <c r="O68" s="8">
        <f>INDEX(Hedef!$C$17:$C$21,Kanit!O68+1)</f>
        <v>0.3</v>
      </c>
      <c r="P68" s="8">
        <f>INDEX(Hedef!$C$17:$C$21,Kanit!P68+1)</f>
        <v>0.3</v>
      </c>
      <c r="Q68" s="8">
        <f>INDEX(Hedef!$C$17:$C$21,Kanit!Q68+1)</f>
        <v>0.3</v>
      </c>
      <c r="R68" s="8">
        <f>INDEX(Hedef!$C$17:$C$21,Kanit!R68+1)</f>
        <v>0.3</v>
      </c>
      <c r="S68" s="8">
        <f>INDEX(Hedef!$C$17:$C$21,Kanit!S68+1)</f>
        <v>0.5</v>
      </c>
      <c r="T68" s="8">
        <f>INDEX(Hedef!$C$17:$C$21,Kanit!T68+1)</f>
        <v>0.3</v>
      </c>
      <c r="U68" s="8">
        <f>INDEX(Hedef!$C$17:$C$21,Kanit!U68+1)</f>
        <v>0.3</v>
      </c>
      <c r="V68" s="8">
        <f>INDEX(Hedef!$C$17:$C$21,Kanit!V68+1)</f>
        <v>0.3</v>
      </c>
      <c r="W68" s="8">
        <f>INDEX(Hedef!$C$17:$C$21,Kanit!W68+1)</f>
        <v>0.3</v>
      </c>
      <c r="X68" s="8">
        <f>INDEX(Hedef!$C$17:$C$21,Kanit!X68+1)</f>
        <v>0.5</v>
      </c>
      <c r="Y68" s="8">
        <f>INDEX(Hedef!$C$17:$C$21,Kanit!Y68+1)</f>
        <v>0.3</v>
      </c>
      <c r="Z68" s="8">
        <f>INDEX(Hedef!$C$17:$C$21,Kanit!Z68+1)</f>
        <v>0.3</v>
      </c>
      <c r="AA68" s="8">
        <f>INDEX(Hedef!$C$17:$C$21,Kanit!AA68+1)</f>
        <v>0.3</v>
      </c>
      <c r="AB68" s="8">
        <f>INDEX(Hedef!$C$17:$C$21,Kanit!AB68+1)</f>
        <v>0.3</v>
      </c>
      <c r="AD68" s="8">
        <f>INDEX(Hedef!$C$17:$C$21,Kanit!AD68+1)</f>
        <v>0.3</v>
      </c>
      <c r="AE68" s="8">
        <f>INDEX(Hedef!$C$17:$C$21,Kanit!AE68+1)</f>
        <v>0.3</v>
      </c>
      <c r="AF68" s="8">
        <f>INDEX(Hedef!$C$17:$C$21,Kanit!AF68+1)</f>
        <v>0.3</v>
      </c>
      <c r="AG68" s="8">
        <f>INDEX(Hedef!$C$17:$C$21,Kanit!AG68+1)</f>
        <v>0.5</v>
      </c>
    </row>
    <row r="69">
      <c r="A69" s="7" t="str">
        <f>Secenekler!A69</f>
        <v>aicommandcard-b</v>
      </c>
      <c r="B69" s="7" t="str">
        <f>Secenekler!C69</f>
        <v>Sabit kapsamlı AiCommandCard entegrasyon paketi</v>
      </c>
      <c r="C69" s="8">
        <f>INDEX(Hedef!$C$17:$C$21,Kanit!C69+1)</f>
        <v>0.3</v>
      </c>
      <c r="D69" s="8">
        <f>INDEX(Hedef!$C$17:$C$21,Kanit!D69+1)</f>
        <v>0.3</v>
      </c>
      <c r="E69" s="8">
        <f>INDEX(Hedef!$C$17:$C$21,Kanit!E69+1)</f>
        <v>0.5</v>
      </c>
      <c r="F69" s="8">
        <f>INDEX(Hedef!$C$17:$C$21,Kanit!F69+1)</f>
        <v>0.5</v>
      </c>
      <c r="G69" s="8">
        <f>INDEX(Hedef!$C$17:$C$21,Kanit!G69+1)</f>
        <v>0.3</v>
      </c>
      <c r="H69" s="8">
        <f>INDEX(Hedef!$C$17:$C$21,Kanit!H69+1)</f>
        <v>0.3</v>
      </c>
      <c r="I69" s="8">
        <f>INDEX(Hedef!$C$17:$C$21,Kanit!I69+1)</f>
        <v>0.3</v>
      </c>
      <c r="J69" s="8">
        <f>INDEX(Hedef!$C$17:$C$21,Kanit!J69+1)</f>
        <v>0.5</v>
      </c>
      <c r="K69" s="8">
        <f>INDEX(Hedef!$C$17:$C$21,Kanit!K69+1)</f>
        <v>0.3</v>
      </c>
      <c r="L69" s="8">
        <f>INDEX(Hedef!$C$17:$C$21,Kanit!L69+1)</f>
        <v>0.3</v>
      </c>
      <c r="M69" s="8">
        <f>INDEX(Hedef!$C$17:$C$21,Kanit!M69+1)</f>
        <v>0.5</v>
      </c>
      <c r="N69" s="8">
        <f>INDEX(Hedef!$C$17:$C$21,Kanit!N69+1)</f>
        <v>0.5</v>
      </c>
      <c r="O69" s="8">
        <f>INDEX(Hedef!$C$17:$C$21,Kanit!O69+1)</f>
        <v>0.3</v>
      </c>
      <c r="P69" s="8">
        <f>INDEX(Hedef!$C$17:$C$21,Kanit!P69+1)</f>
        <v>0.5</v>
      </c>
      <c r="Q69" s="8">
        <f>INDEX(Hedef!$C$17:$C$21,Kanit!Q69+1)</f>
        <v>0.3</v>
      </c>
      <c r="R69" s="8">
        <f>INDEX(Hedef!$C$17:$C$21,Kanit!R69+1)</f>
        <v>0.3</v>
      </c>
      <c r="S69" s="8">
        <f>INDEX(Hedef!$C$17:$C$21,Kanit!S69+1)</f>
        <v>0.3</v>
      </c>
      <c r="T69" s="8">
        <f>INDEX(Hedef!$C$17:$C$21,Kanit!T69+1)</f>
        <v>0.3</v>
      </c>
      <c r="U69" s="8">
        <f>INDEX(Hedef!$C$17:$C$21,Kanit!U69+1)</f>
        <v>0.3</v>
      </c>
      <c r="V69" s="8">
        <f>INDEX(Hedef!$C$17:$C$21,Kanit!V69+1)</f>
        <v>0.3</v>
      </c>
      <c r="W69" s="8">
        <f>INDEX(Hedef!$C$17:$C$21,Kanit!W69+1)</f>
        <v>0.3</v>
      </c>
      <c r="X69" s="8">
        <f>INDEX(Hedef!$C$17:$C$21,Kanit!X69+1)</f>
        <v>0.5</v>
      </c>
      <c r="Y69" s="8">
        <f>INDEX(Hedef!$C$17:$C$21,Kanit!Y69+1)</f>
        <v>0.5</v>
      </c>
      <c r="Z69" s="8">
        <f>INDEX(Hedef!$C$17:$C$21,Kanit!Z69+1)</f>
        <v>0.3</v>
      </c>
      <c r="AA69" s="8">
        <f>INDEX(Hedef!$C$17:$C$21,Kanit!AA69+1)</f>
        <v>0.3</v>
      </c>
      <c r="AB69" s="8">
        <f>INDEX(Hedef!$C$17:$C$21,Kanit!AB69+1)</f>
        <v>0.3</v>
      </c>
      <c r="AD69" s="8">
        <f>INDEX(Hedef!$C$17:$C$21,Kanit!AD69+1)</f>
        <v>0.3</v>
      </c>
      <c r="AE69" s="8">
        <f>INDEX(Hedef!$C$17:$C$21,Kanit!AE69+1)</f>
        <v>0.3</v>
      </c>
      <c r="AF69" s="8">
        <f>INDEX(Hedef!$C$17:$C$21,Kanit!AF69+1)</f>
        <v>0.3</v>
      </c>
      <c r="AG69" s="8">
        <f>INDEX(Hedef!$C$17:$C$21,Kanit!AG69+1)</f>
        <v>0.5</v>
      </c>
    </row>
    <row r="70">
      <c r="A70" s="7" t="str">
        <f>Secenekler!A70</f>
        <v>atonota-denetim-a</v>
      </c>
      <c r="B70" s="7" t="str">
        <f>Secenekler!C70</f>
        <v>Ücretsiz puan kartı eklentisi ve Pro yıllık lisans</v>
      </c>
      <c r="C70" s="8">
        <f>INDEX(Hedef!$C$17:$C$21,Kanit!C70+1)</f>
        <v>0.3</v>
      </c>
      <c r="D70" s="8">
        <f>INDEX(Hedef!$C$17:$C$21,Kanit!D70+1)</f>
        <v>0.3</v>
      </c>
      <c r="E70" s="8">
        <f>INDEX(Hedef!$C$17:$C$21,Kanit!E70+1)</f>
        <v>0.5</v>
      </c>
      <c r="F70" s="8">
        <f>INDEX(Hedef!$C$17:$C$21,Kanit!F70+1)</f>
        <v>0.5</v>
      </c>
      <c r="G70" s="8">
        <f>INDEX(Hedef!$C$17:$C$21,Kanit!G70+1)</f>
        <v>0.3</v>
      </c>
      <c r="H70" s="8">
        <f>INDEX(Hedef!$C$17:$C$21,Kanit!H70+1)</f>
        <v>0.3</v>
      </c>
      <c r="I70" s="8">
        <f>INDEX(Hedef!$C$17:$C$21,Kanit!I70+1)</f>
        <v>0.5</v>
      </c>
      <c r="J70" s="8">
        <f>INDEX(Hedef!$C$17:$C$21,Kanit!J70+1)</f>
        <v>0.5</v>
      </c>
      <c r="K70" s="8">
        <f>INDEX(Hedef!$C$17:$C$21,Kanit!K70+1)</f>
        <v>0.3</v>
      </c>
      <c r="L70" s="8">
        <f>INDEX(Hedef!$C$17:$C$21,Kanit!L70+1)</f>
        <v>0.3</v>
      </c>
      <c r="M70" s="8">
        <f>INDEX(Hedef!$C$17:$C$21,Kanit!M70+1)</f>
        <v>0.5</v>
      </c>
      <c r="N70" s="8">
        <f>INDEX(Hedef!$C$17:$C$21,Kanit!N70+1)</f>
        <v>0.3</v>
      </c>
      <c r="O70" s="8">
        <f>INDEX(Hedef!$C$17:$C$21,Kanit!O70+1)</f>
        <v>0.3</v>
      </c>
      <c r="P70" s="8">
        <f>INDEX(Hedef!$C$17:$C$21,Kanit!P70+1)</f>
        <v>0.5</v>
      </c>
      <c r="Q70" s="8">
        <f>INDEX(Hedef!$C$17:$C$21,Kanit!Q70+1)</f>
        <v>0.3</v>
      </c>
      <c r="R70" s="8">
        <f>INDEX(Hedef!$C$17:$C$21,Kanit!R70+1)</f>
        <v>0.3</v>
      </c>
      <c r="S70" s="8">
        <f>INDEX(Hedef!$C$17:$C$21,Kanit!S70+1)</f>
        <v>0.3</v>
      </c>
      <c r="T70" s="8">
        <f>INDEX(Hedef!$C$17:$C$21,Kanit!T70+1)</f>
        <v>0.3</v>
      </c>
      <c r="U70" s="8">
        <f>INDEX(Hedef!$C$17:$C$21,Kanit!U70+1)</f>
        <v>0.5</v>
      </c>
      <c r="V70" s="8">
        <f>INDEX(Hedef!$C$17:$C$21,Kanit!V70+1)</f>
        <v>0.5</v>
      </c>
      <c r="W70" s="8">
        <f>INDEX(Hedef!$C$17:$C$21,Kanit!W70+1)</f>
        <v>0.3</v>
      </c>
      <c r="X70" s="8">
        <f>INDEX(Hedef!$C$17:$C$21,Kanit!X70+1)</f>
        <v>0.5</v>
      </c>
      <c r="Y70" s="8">
        <f>INDEX(Hedef!$C$17:$C$21,Kanit!Y70+1)</f>
        <v>0.5</v>
      </c>
      <c r="Z70" s="8">
        <f>INDEX(Hedef!$C$17:$C$21,Kanit!Z70+1)</f>
        <v>0.3</v>
      </c>
      <c r="AA70" s="8">
        <f>INDEX(Hedef!$C$17:$C$21,Kanit!AA70+1)</f>
        <v>0.3</v>
      </c>
      <c r="AB70" s="8">
        <f>INDEX(Hedef!$C$17:$C$21,Kanit!AB70+1)</f>
        <v>0.3</v>
      </c>
      <c r="AD70" s="8">
        <f>INDEX(Hedef!$C$17:$C$21,Kanit!AD70+1)</f>
        <v>0.5</v>
      </c>
      <c r="AE70" s="8">
        <f>INDEX(Hedef!$C$17:$C$21,Kanit!AE70+1)</f>
        <v>0.5</v>
      </c>
      <c r="AF70" s="8">
        <f>INDEX(Hedef!$C$17:$C$21,Kanit!AF70+1)</f>
        <v>0.3</v>
      </c>
      <c r="AG70" s="8">
        <f>INDEX(Hedef!$C$17:$C$21,Kanit!AG70+1)</f>
        <v>0.5</v>
      </c>
    </row>
    <row r="71">
      <c r="A71" s="7" t="str">
        <f>Secenekler!A71</f>
        <v>atonota-denetim-b</v>
      </c>
      <c r="B71" s="7" t="str">
        <f>Secenekler!C71</f>
        <v>Ajans lisansı: 25 site için aylık müşteri sağlık raporu</v>
      </c>
      <c r="C71" s="8">
        <f>INDEX(Hedef!$C$17:$C$21,Kanit!C71+1)</f>
        <v>0.3</v>
      </c>
      <c r="D71" s="8">
        <f>INDEX(Hedef!$C$17:$C$21,Kanit!D71+1)</f>
        <v>0.3</v>
      </c>
      <c r="E71" s="8">
        <f>INDEX(Hedef!$C$17:$C$21,Kanit!E71+1)</f>
        <v>0.5</v>
      </c>
      <c r="F71" s="8">
        <f>INDEX(Hedef!$C$17:$C$21,Kanit!F71+1)</f>
        <v>0.5</v>
      </c>
      <c r="G71" s="8">
        <f>INDEX(Hedef!$C$17:$C$21,Kanit!G71+1)</f>
        <v>0.3</v>
      </c>
      <c r="H71" s="8">
        <f>INDEX(Hedef!$C$17:$C$21,Kanit!H71+1)</f>
        <v>0.5</v>
      </c>
      <c r="I71" s="8">
        <f>INDEX(Hedef!$C$17:$C$21,Kanit!I71+1)</f>
        <v>0.3</v>
      </c>
      <c r="J71" s="8">
        <f>INDEX(Hedef!$C$17:$C$21,Kanit!J71+1)</f>
        <v>0.3</v>
      </c>
      <c r="K71" s="8">
        <f>INDEX(Hedef!$C$17:$C$21,Kanit!K71+1)</f>
        <v>0.3</v>
      </c>
      <c r="L71" s="8">
        <f>INDEX(Hedef!$C$17:$C$21,Kanit!L71+1)</f>
        <v>0.3</v>
      </c>
      <c r="M71" s="8">
        <f>INDEX(Hedef!$C$17:$C$21,Kanit!M71+1)</f>
        <v>0.5</v>
      </c>
      <c r="N71" s="8">
        <f>INDEX(Hedef!$C$17:$C$21,Kanit!N71+1)</f>
        <v>0.3</v>
      </c>
      <c r="O71" s="8">
        <f>INDEX(Hedef!$C$17:$C$21,Kanit!O71+1)</f>
        <v>0.3</v>
      </c>
      <c r="P71" s="8">
        <f>INDEX(Hedef!$C$17:$C$21,Kanit!P71+1)</f>
        <v>0.5</v>
      </c>
      <c r="Q71" s="8">
        <f>INDEX(Hedef!$C$17:$C$21,Kanit!Q71+1)</f>
        <v>0.3</v>
      </c>
      <c r="R71" s="8">
        <f>INDEX(Hedef!$C$17:$C$21,Kanit!R71+1)</f>
        <v>0.3</v>
      </c>
      <c r="S71" s="8">
        <f>INDEX(Hedef!$C$17:$C$21,Kanit!S71+1)</f>
        <v>0.3</v>
      </c>
      <c r="T71" s="8">
        <f>INDEX(Hedef!$C$17:$C$21,Kanit!T71+1)</f>
        <v>0.3</v>
      </c>
      <c r="U71" s="8">
        <f>INDEX(Hedef!$C$17:$C$21,Kanit!U71+1)</f>
        <v>0.5</v>
      </c>
      <c r="V71" s="8">
        <f>INDEX(Hedef!$C$17:$C$21,Kanit!V71+1)</f>
        <v>0.3</v>
      </c>
      <c r="W71" s="8">
        <f>INDEX(Hedef!$C$17:$C$21,Kanit!W71+1)</f>
        <v>0.3</v>
      </c>
      <c r="X71" s="8">
        <f>INDEX(Hedef!$C$17:$C$21,Kanit!X71+1)</f>
        <v>0.5</v>
      </c>
      <c r="Y71" s="8">
        <f>INDEX(Hedef!$C$17:$C$21,Kanit!Y71+1)</f>
        <v>0.5</v>
      </c>
      <c r="Z71" s="8">
        <f>INDEX(Hedef!$C$17:$C$21,Kanit!Z71+1)</f>
        <v>0.3</v>
      </c>
      <c r="AA71" s="8">
        <f>INDEX(Hedef!$C$17:$C$21,Kanit!AA71+1)</f>
        <v>0.3</v>
      </c>
      <c r="AB71" s="8">
        <f>INDEX(Hedef!$C$17:$C$21,Kanit!AB71+1)</f>
        <v>0.3</v>
      </c>
      <c r="AD71" s="8">
        <f>INDEX(Hedef!$C$17:$C$21,Kanit!AD71+1)</f>
        <v>0.5</v>
      </c>
      <c r="AE71" s="8">
        <f>INDEX(Hedef!$C$17:$C$21,Kanit!AE71+1)</f>
        <v>0.5</v>
      </c>
      <c r="AF71" s="8">
        <f>INDEX(Hedef!$C$17:$C$21,Kanit!AF71+1)</f>
        <v>0.3</v>
      </c>
      <c r="AG71" s="8">
        <f>INDEX(Hedef!$C$17:$C$21,Kanit!AG71+1)</f>
        <v>0.3</v>
      </c>
    </row>
    <row r="72">
      <c r="A72" s="7" t="str">
        <f>Secenekler!A72</f>
        <v>atonota-denetim-c</v>
      </c>
      <c r="B72" s="7" t="str">
        <f>Secenekler!C72</f>
        <v>Ajans için müşteri kabul ve teslim kaydı hizmeti (pilot)</v>
      </c>
      <c r="C72" s="8">
        <f>INDEX(Hedef!$C$17:$C$21,Kanit!C72+1)</f>
        <v>0.3</v>
      </c>
      <c r="D72" s="8">
        <f>INDEX(Hedef!$C$17:$C$21,Kanit!D72+1)</f>
        <v>0.3</v>
      </c>
      <c r="E72" s="8">
        <f>INDEX(Hedef!$C$17:$C$21,Kanit!E72+1)</f>
        <v>0.3</v>
      </c>
      <c r="F72" s="8">
        <f>INDEX(Hedef!$C$17:$C$21,Kanit!F72+1)</f>
        <v>0.3</v>
      </c>
      <c r="G72" s="8">
        <f>INDEX(Hedef!$C$17:$C$21,Kanit!G72+1)</f>
        <v>0.3</v>
      </c>
      <c r="H72" s="8">
        <f>INDEX(Hedef!$C$17:$C$21,Kanit!H72+1)</f>
        <v>0.3</v>
      </c>
      <c r="I72" s="8">
        <f>INDEX(Hedef!$C$17:$C$21,Kanit!I72+1)</f>
        <v>0.3</v>
      </c>
      <c r="J72" s="8">
        <f>INDEX(Hedef!$C$17:$C$21,Kanit!J72+1)</f>
        <v>0.3</v>
      </c>
      <c r="K72" s="8">
        <f>INDEX(Hedef!$C$17:$C$21,Kanit!K72+1)</f>
        <v>0.3</v>
      </c>
      <c r="L72" s="8">
        <f>INDEX(Hedef!$C$17:$C$21,Kanit!L72+1)</f>
        <v>0.3</v>
      </c>
      <c r="M72" s="8">
        <f>INDEX(Hedef!$C$17:$C$21,Kanit!M72+1)</f>
        <v>0.3</v>
      </c>
      <c r="N72" s="8">
        <f>INDEX(Hedef!$C$17:$C$21,Kanit!N72+1)</f>
        <v>0.3</v>
      </c>
      <c r="O72" s="8">
        <f>INDEX(Hedef!$C$17:$C$21,Kanit!O72+1)</f>
        <v>0.3</v>
      </c>
      <c r="P72" s="8">
        <f>INDEX(Hedef!$C$17:$C$21,Kanit!P72+1)</f>
        <v>0.3</v>
      </c>
      <c r="Q72" s="8">
        <f>INDEX(Hedef!$C$17:$C$21,Kanit!Q72+1)</f>
        <v>0.3</v>
      </c>
      <c r="R72" s="8">
        <f>INDEX(Hedef!$C$17:$C$21,Kanit!R72+1)</f>
        <v>0.3</v>
      </c>
      <c r="S72" s="8">
        <f>INDEX(Hedef!$C$17:$C$21,Kanit!S72+1)</f>
        <v>0.3</v>
      </c>
      <c r="T72" s="8">
        <f>INDEX(Hedef!$C$17:$C$21,Kanit!T72+1)</f>
        <v>0.3</v>
      </c>
      <c r="U72" s="8">
        <f>INDEX(Hedef!$C$17:$C$21,Kanit!U72+1)</f>
        <v>0.3</v>
      </c>
      <c r="V72" s="8">
        <f>INDEX(Hedef!$C$17:$C$21,Kanit!V72+1)</f>
        <v>0.3</v>
      </c>
      <c r="W72" s="8">
        <f>INDEX(Hedef!$C$17:$C$21,Kanit!W72+1)</f>
        <v>0.3</v>
      </c>
      <c r="X72" s="8">
        <f>INDEX(Hedef!$C$17:$C$21,Kanit!X72+1)</f>
        <v>0.3</v>
      </c>
      <c r="Y72" s="8">
        <f>INDEX(Hedef!$C$17:$C$21,Kanit!Y72+1)</f>
        <v>0.5</v>
      </c>
      <c r="Z72" s="8">
        <f>INDEX(Hedef!$C$17:$C$21,Kanit!Z72+1)</f>
        <v>0.3</v>
      </c>
      <c r="AA72" s="8">
        <f>INDEX(Hedef!$C$17:$C$21,Kanit!AA72+1)</f>
        <v>0.3</v>
      </c>
      <c r="AB72" s="8">
        <f>INDEX(Hedef!$C$17:$C$21,Kanit!AB72+1)</f>
        <v>0.3</v>
      </c>
      <c r="AD72" s="8">
        <f>INDEX(Hedef!$C$17:$C$21,Kanit!AD72+1)</f>
        <v>0.3</v>
      </c>
      <c r="AE72" s="8">
        <f>INDEX(Hedef!$C$17:$C$21,Kanit!AE72+1)</f>
        <v>0.3</v>
      </c>
      <c r="AF72" s="8">
        <f>INDEX(Hedef!$C$17:$C$21,Kanit!AF72+1)</f>
        <v>0.3</v>
      </c>
      <c r="AG72" s="8">
        <f>INDEX(Hedef!$C$17:$C$21,Kanit!AG72+1)</f>
        <v>0.3</v>
      </c>
    </row>
    <row r="73">
      <c r="A73" s="7" t="str">
        <f>Secenekler!A73</f>
        <v>b2b-bilesenler-a</v>
      </c>
      <c r="B73" s="7" t="str">
        <f>Secenekler!C73</f>
        <v>Site paketine ek: ürün sayfası ve hareket blokları</v>
      </c>
      <c r="C73" s="8">
        <f>INDEX(Hedef!$C$17:$C$21,Kanit!C73+1)</f>
        <v>0.3</v>
      </c>
      <c r="D73" s="8">
        <f>INDEX(Hedef!$C$17:$C$21,Kanit!D73+1)</f>
        <v>0.3</v>
      </c>
      <c r="E73" s="8">
        <f>INDEX(Hedef!$C$17:$C$21,Kanit!E73+1)</f>
        <v>0.3</v>
      </c>
      <c r="F73" s="8">
        <f>INDEX(Hedef!$C$17:$C$21,Kanit!F73+1)</f>
        <v>0.3</v>
      </c>
      <c r="G73" s="8">
        <f>INDEX(Hedef!$C$17:$C$21,Kanit!G73+1)</f>
        <v>0.3</v>
      </c>
      <c r="H73" s="8">
        <f>INDEX(Hedef!$C$17:$C$21,Kanit!H73+1)</f>
        <v>0.3</v>
      </c>
      <c r="I73" s="8">
        <f>INDEX(Hedef!$C$17:$C$21,Kanit!I73+1)</f>
        <v>0.5</v>
      </c>
      <c r="J73" s="8">
        <f>INDEX(Hedef!$C$17:$C$21,Kanit!J73+1)</f>
        <v>0.3</v>
      </c>
      <c r="K73" s="8">
        <f>INDEX(Hedef!$C$17:$C$21,Kanit!K73+1)</f>
        <v>0.3</v>
      </c>
      <c r="L73" s="8">
        <f>INDEX(Hedef!$C$17:$C$21,Kanit!L73+1)</f>
        <v>0.3</v>
      </c>
      <c r="M73" s="8">
        <f>INDEX(Hedef!$C$17:$C$21,Kanit!M73+1)</f>
        <v>0.5</v>
      </c>
      <c r="N73" s="8">
        <f>INDEX(Hedef!$C$17:$C$21,Kanit!N73+1)</f>
        <v>0.3</v>
      </c>
      <c r="O73" s="8">
        <f>INDEX(Hedef!$C$17:$C$21,Kanit!O73+1)</f>
        <v>0.3</v>
      </c>
      <c r="P73" s="8">
        <f>INDEX(Hedef!$C$17:$C$21,Kanit!P73+1)</f>
        <v>0.3</v>
      </c>
      <c r="Q73" s="8">
        <f>INDEX(Hedef!$C$17:$C$21,Kanit!Q73+1)</f>
        <v>0.3</v>
      </c>
      <c r="R73" s="8">
        <f>INDEX(Hedef!$C$17:$C$21,Kanit!R73+1)</f>
        <v>0.3</v>
      </c>
      <c r="S73" s="8">
        <f>INDEX(Hedef!$C$17:$C$21,Kanit!S73+1)</f>
        <v>0.3</v>
      </c>
      <c r="T73" s="8">
        <f>INDEX(Hedef!$C$17:$C$21,Kanit!T73+1)</f>
        <v>0.3</v>
      </c>
      <c r="U73" s="8">
        <f>INDEX(Hedef!$C$17:$C$21,Kanit!U73+1)</f>
        <v>0.5</v>
      </c>
      <c r="V73" s="8">
        <f>INDEX(Hedef!$C$17:$C$21,Kanit!V73+1)</f>
        <v>0.3</v>
      </c>
      <c r="W73" s="8">
        <f>INDEX(Hedef!$C$17:$C$21,Kanit!W73+1)</f>
        <v>0.3</v>
      </c>
      <c r="X73" s="8">
        <f>INDEX(Hedef!$C$17:$C$21,Kanit!X73+1)</f>
        <v>0.7</v>
      </c>
      <c r="Y73" s="8">
        <f>INDEX(Hedef!$C$17:$C$21,Kanit!Y73+1)</f>
        <v>0.3</v>
      </c>
      <c r="Z73" s="8">
        <f>INDEX(Hedef!$C$17:$C$21,Kanit!Z73+1)</f>
        <v>0.3</v>
      </c>
      <c r="AA73" s="8">
        <f>INDEX(Hedef!$C$17:$C$21,Kanit!AA73+1)</f>
        <v>0.3</v>
      </c>
      <c r="AB73" s="8">
        <f>INDEX(Hedef!$C$17:$C$21,Kanit!AB73+1)</f>
        <v>0.3</v>
      </c>
      <c r="AD73" s="8">
        <f>INDEX(Hedef!$C$17:$C$21,Kanit!AD73+1)</f>
        <v>0.3</v>
      </c>
      <c r="AE73" s="8">
        <f>INDEX(Hedef!$C$17:$C$21,Kanit!AE73+1)</f>
        <v>0.3</v>
      </c>
      <c r="AF73" s="8">
        <f>INDEX(Hedef!$C$17:$C$21,Kanit!AF73+1)</f>
        <v>0.3</v>
      </c>
      <c r="AG73" s="8">
        <f>INDEX(Hedef!$C$17:$C$21,Kanit!AG73+1)</f>
        <v>0.5</v>
      </c>
    </row>
    <row r="74">
      <c r="A74" s="7" t="str">
        <f>Secenekler!A74</f>
        <v>b2b-bilesenler-b</v>
      </c>
      <c r="B74" s="7" t="str">
        <f>Secenekler!C74</f>
        <v>Tek ürün, iki mobil alıcı görünümü (sabit paket)</v>
      </c>
      <c r="C74" s="8">
        <f>INDEX(Hedef!$C$17:$C$21,Kanit!C74+1)</f>
        <v>0.3</v>
      </c>
      <c r="D74" s="8">
        <f>INDEX(Hedef!$C$17:$C$21,Kanit!D74+1)</f>
        <v>0.3</v>
      </c>
      <c r="E74" s="8">
        <f>INDEX(Hedef!$C$17:$C$21,Kanit!E74+1)</f>
        <v>0.3</v>
      </c>
      <c r="F74" s="8">
        <f>INDEX(Hedef!$C$17:$C$21,Kanit!F74+1)</f>
        <v>0.3</v>
      </c>
      <c r="G74" s="8">
        <f>INDEX(Hedef!$C$17:$C$21,Kanit!G74+1)</f>
        <v>0.3</v>
      </c>
      <c r="H74" s="8">
        <f>INDEX(Hedef!$C$17:$C$21,Kanit!H74+1)</f>
        <v>0.3</v>
      </c>
      <c r="I74" s="8">
        <f>INDEX(Hedef!$C$17:$C$21,Kanit!I74+1)</f>
        <v>0.3</v>
      </c>
      <c r="J74" s="8">
        <f>INDEX(Hedef!$C$17:$C$21,Kanit!J74+1)</f>
        <v>0.3</v>
      </c>
      <c r="K74" s="8">
        <f>INDEX(Hedef!$C$17:$C$21,Kanit!K74+1)</f>
        <v>0.3</v>
      </c>
      <c r="L74" s="8">
        <f>INDEX(Hedef!$C$17:$C$21,Kanit!L74+1)</f>
        <v>0.3</v>
      </c>
      <c r="M74" s="8">
        <f>INDEX(Hedef!$C$17:$C$21,Kanit!M74+1)</f>
        <v>0.3</v>
      </c>
      <c r="N74" s="8">
        <f>INDEX(Hedef!$C$17:$C$21,Kanit!N74+1)</f>
        <v>0.3</v>
      </c>
      <c r="O74" s="8">
        <f>INDEX(Hedef!$C$17:$C$21,Kanit!O74+1)</f>
        <v>0.3</v>
      </c>
      <c r="P74" s="8">
        <f>INDEX(Hedef!$C$17:$C$21,Kanit!P74+1)</f>
        <v>0.3</v>
      </c>
      <c r="Q74" s="8">
        <f>INDEX(Hedef!$C$17:$C$21,Kanit!Q74+1)</f>
        <v>0.3</v>
      </c>
      <c r="R74" s="8">
        <f>INDEX(Hedef!$C$17:$C$21,Kanit!R74+1)</f>
        <v>0.3</v>
      </c>
      <c r="S74" s="8">
        <f>INDEX(Hedef!$C$17:$C$21,Kanit!S74+1)</f>
        <v>0.3</v>
      </c>
      <c r="T74" s="8">
        <f>INDEX(Hedef!$C$17:$C$21,Kanit!T74+1)</f>
        <v>0.3</v>
      </c>
      <c r="U74" s="8">
        <f>INDEX(Hedef!$C$17:$C$21,Kanit!U74+1)</f>
        <v>0.5</v>
      </c>
      <c r="V74" s="8">
        <f>INDEX(Hedef!$C$17:$C$21,Kanit!V74+1)</f>
        <v>0.3</v>
      </c>
      <c r="W74" s="8">
        <f>INDEX(Hedef!$C$17:$C$21,Kanit!W74+1)</f>
        <v>0.3</v>
      </c>
      <c r="X74" s="8">
        <f>INDEX(Hedef!$C$17:$C$21,Kanit!X74+1)</f>
        <v>0.5</v>
      </c>
      <c r="Y74" s="8">
        <f>INDEX(Hedef!$C$17:$C$21,Kanit!Y74+1)</f>
        <v>0.3</v>
      </c>
      <c r="Z74" s="8">
        <f>INDEX(Hedef!$C$17:$C$21,Kanit!Z74+1)</f>
        <v>0.3</v>
      </c>
      <c r="AA74" s="8">
        <f>INDEX(Hedef!$C$17:$C$21,Kanit!AA74+1)</f>
        <v>0.3</v>
      </c>
      <c r="AB74" s="8">
        <f>INDEX(Hedef!$C$17:$C$21,Kanit!AB74+1)</f>
        <v>0.3</v>
      </c>
      <c r="AD74" s="8">
        <f>INDEX(Hedef!$C$17:$C$21,Kanit!AD74+1)</f>
        <v>0.3</v>
      </c>
      <c r="AE74" s="8">
        <f>INDEX(Hedef!$C$17:$C$21,Kanit!AE74+1)</f>
        <v>0.3</v>
      </c>
      <c r="AF74" s="8">
        <f>INDEX(Hedef!$C$17:$C$21,Kanit!AF74+1)</f>
        <v>0.3</v>
      </c>
      <c r="AG74" s="8">
        <f>INDEX(Hedef!$C$17:$C$21,Kanit!AG74+1)</f>
        <v>0.3</v>
      </c>
    </row>
    <row r="75">
      <c r="A75" s="7" t="str">
        <f>Secenekler!A75</f>
        <v>b2b-bilesenler-c</v>
      </c>
      <c r="B75" s="7" t="str">
        <f>Secenekler!C75</f>
        <v>Astro ve Tailwind ürün sayfası şablonu (kod satışı)</v>
      </c>
      <c r="C75" s="8">
        <f>INDEX(Hedef!$C$17:$C$21,Kanit!C75+1)</f>
        <v>0.3</v>
      </c>
      <c r="D75" s="8">
        <f>INDEX(Hedef!$C$17:$C$21,Kanit!D75+1)</f>
        <v>0.3</v>
      </c>
      <c r="E75" s="8">
        <f>INDEX(Hedef!$C$17:$C$21,Kanit!E75+1)</f>
        <v>0.5</v>
      </c>
      <c r="F75" s="8">
        <f>INDEX(Hedef!$C$17:$C$21,Kanit!F75+1)</f>
        <v>0.5</v>
      </c>
      <c r="G75" s="8">
        <f>INDEX(Hedef!$C$17:$C$21,Kanit!G75+1)</f>
        <v>0.3</v>
      </c>
      <c r="H75" s="8">
        <f>INDEX(Hedef!$C$17:$C$21,Kanit!H75+1)</f>
        <v>0.5</v>
      </c>
      <c r="I75" s="8">
        <f>INDEX(Hedef!$C$17:$C$21,Kanit!I75+1)</f>
        <v>0.3</v>
      </c>
      <c r="J75" s="8">
        <f>INDEX(Hedef!$C$17:$C$21,Kanit!J75+1)</f>
        <v>0.5</v>
      </c>
      <c r="K75" s="8">
        <f>INDEX(Hedef!$C$17:$C$21,Kanit!K75+1)</f>
        <v>0.5</v>
      </c>
      <c r="L75" s="8">
        <f>INDEX(Hedef!$C$17:$C$21,Kanit!L75+1)</f>
        <v>0.3</v>
      </c>
      <c r="M75" s="8">
        <f>INDEX(Hedef!$C$17:$C$21,Kanit!M75+1)</f>
        <v>0.3</v>
      </c>
      <c r="N75" s="8">
        <f>INDEX(Hedef!$C$17:$C$21,Kanit!N75+1)</f>
        <v>0.3</v>
      </c>
      <c r="O75" s="8">
        <f>INDEX(Hedef!$C$17:$C$21,Kanit!O75+1)</f>
        <v>0.3</v>
      </c>
      <c r="P75" s="8">
        <f>INDEX(Hedef!$C$17:$C$21,Kanit!P75+1)</f>
        <v>0.3</v>
      </c>
      <c r="Q75" s="8">
        <f>INDEX(Hedef!$C$17:$C$21,Kanit!Q75+1)</f>
        <v>0.3</v>
      </c>
      <c r="R75" s="8">
        <f>INDEX(Hedef!$C$17:$C$21,Kanit!R75+1)</f>
        <v>0.3</v>
      </c>
      <c r="S75" s="8">
        <f>INDEX(Hedef!$C$17:$C$21,Kanit!S75+1)</f>
        <v>0.3</v>
      </c>
      <c r="T75" s="8">
        <f>INDEX(Hedef!$C$17:$C$21,Kanit!T75+1)</f>
        <v>0.3</v>
      </c>
      <c r="U75" s="8">
        <f>INDEX(Hedef!$C$17:$C$21,Kanit!U75+1)</f>
        <v>0.5</v>
      </c>
      <c r="V75" s="8">
        <f>INDEX(Hedef!$C$17:$C$21,Kanit!V75+1)</f>
        <v>0.5</v>
      </c>
      <c r="W75" s="8">
        <f>INDEX(Hedef!$C$17:$C$21,Kanit!W75+1)</f>
        <v>0.3</v>
      </c>
      <c r="X75" s="8">
        <f>INDEX(Hedef!$C$17:$C$21,Kanit!X75+1)</f>
        <v>0.5</v>
      </c>
      <c r="Y75" s="8">
        <f>INDEX(Hedef!$C$17:$C$21,Kanit!Y75+1)</f>
        <v>0.5</v>
      </c>
      <c r="Z75" s="8">
        <f>INDEX(Hedef!$C$17:$C$21,Kanit!Z75+1)</f>
        <v>0.3</v>
      </c>
      <c r="AA75" s="8">
        <f>INDEX(Hedef!$C$17:$C$21,Kanit!AA75+1)</f>
        <v>0.3</v>
      </c>
      <c r="AB75" s="8">
        <f>INDEX(Hedef!$C$17:$C$21,Kanit!AB75+1)</f>
        <v>0.3</v>
      </c>
      <c r="AD75" s="8">
        <f>INDEX(Hedef!$C$17:$C$21,Kanit!AD75+1)</f>
        <v>0.5</v>
      </c>
      <c r="AE75" s="8">
        <f>INDEX(Hedef!$C$17:$C$21,Kanit!AE75+1)</f>
        <v>0.5</v>
      </c>
      <c r="AF75" s="8">
        <f>INDEX(Hedef!$C$17:$C$21,Kanit!AF75+1)</f>
        <v>0.3</v>
      </c>
      <c r="AG75" s="8">
        <f>INDEX(Hedef!$C$17:$C$21,Kanit!AG75+1)</f>
        <v>0.3</v>
      </c>
    </row>
    <row r="76">
      <c r="A76" s="7" t="str">
        <f>Secenekler!A76</f>
        <v>banner-post-a</v>
      </c>
      <c r="B76" s="7" t="str">
        <f>Secenekler!C76</f>
        <v>Zabuno içinde kampanya görseli modülü</v>
      </c>
      <c r="C76" s="8">
        <f>INDEX(Hedef!$C$17:$C$21,Kanit!C76+1)</f>
        <v>0.3</v>
      </c>
      <c r="D76" s="8">
        <f>INDEX(Hedef!$C$17:$C$21,Kanit!D76+1)</f>
        <v>0.3</v>
      </c>
      <c r="E76" s="8">
        <f>INDEX(Hedef!$C$17:$C$21,Kanit!E76+1)</f>
        <v>0.3</v>
      </c>
      <c r="F76" s="8">
        <f>INDEX(Hedef!$C$17:$C$21,Kanit!F76+1)</f>
        <v>0.3</v>
      </c>
      <c r="G76" s="8">
        <f>INDEX(Hedef!$C$17:$C$21,Kanit!G76+1)</f>
        <v>0.3</v>
      </c>
      <c r="H76" s="8">
        <f>INDEX(Hedef!$C$17:$C$21,Kanit!H76+1)</f>
        <v>0.3</v>
      </c>
      <c r="I76" s="8">
        <f>INDEX(Hedef!$C$17:$C$21,Kanit!I76+1)</f>
        <v>0.5</v>
      </c>
      <c r="J76" s="8">
        <f>INDEX(Hedef!$C$17:$C$21,Kanit!J76+1)</f>
        <v>0.3</v>
      </c>
      <c r="K76" s="8">
        <f>INDEX(Hedef!$C$17:$C$21,Kanit!K76+1)</f>
        <v>0.3</v>
      </c>
      <c r="L76" s="8">
        <f>INDEX(Hedef!$C$17:$C$21,Kanit!L76+1)</f>
        <v>0.3</v>
      </c>
      <c r="M76" s="8">
        <f>INDEX(Hedef!$C$17:$C$21,Kanit!M76+1)</f>
        <v>0.3</v>
      </c>
      <c r="N76" s="8">
        <f>INDEX(Hedef!$C$17:$C$21,Kanit!N76+1)</f>
        <v>0.3</v>
      </c>
      <c r="O76" s="8">
        <f>INDEX(Hedef!$C$17:$C$21,Kanit!O76+1)</f>
        <v>0.3</v>
      </c>
      <c r="P76" s="8">
        <f>INDEX(Hedef!$C$17:$C$21,Kanit!P76+1)</f>
        <v>0.3</v>
      </c>
      <c r="Q76" s="8">
        <f>INDEX(Hedef!$C$17:$C$21,Kanit!Q76+1)</f>
        <v>0.3</v>
      </c>
      <c r="R76" s="8">
        <f>INDEX(Hedef!$C$17:$C$21,Kanit!R76+1)</f>
        <v>0.3</v>
      </c>
      <c r="S76" s="8">
        <f>INDEX(Hedef!$C$17:$C$21,Kanit!S76+1)</f>
        <v>0.5</v>
      </c>
      <c r="T76" s="8">
        <f>INDEX(Hedef!$C$17:$C$21,Kanit!T76+1)</f>
        <v>0.3</v>
      </c>
      <c r="U76" s="8">
        <f>INDEX(Hedef!$C$17:$C$21,Kanit!U76+1)</f>
        <v>0.5</v>
      </c>
      <c r="V76" s="8">
        <f>INDEX(Hedef!$C$17:$C$21,Kanit!V76+1)</f>
        <v>0.3</v>
      </c>
      <c r="W76" s="8">
        <f>INDEX(Hedef!$C$17:$C$21,Kanit!W76+1)</f>
        <v>0.5</v>
      </c>
      <c r="X76" s="8">
        <f>INDEX(Hedef!$C$17:$C$21,Kanit!X76+1)</f>
        <v>0.5</v>
      </c>
      <c r="Y76" s="8">
        <f>INDEX(Hedef!$C$17:$C$21,Kanit!Y76+1)</f>
        <v>0.5</v>
      </c>
      <c r="Z76" s="8">
        <f>INDEX(Hedef!$C$17:$C$21,Kanit!Z76+1)</f>
        <v>0.3</v>
      </c>
      <c r="AA76" s="8">
        <f>INDEX(Hedef!$C$17:$C$21,Kanit!AA76+1)</f>
        <v>0.5</v>
      </c>
      <c r="AB76" s="8">
        <f>INDEX(Hedef!$C$17:$C$21,Kanit!AB76+1)</f>
        <v>0.3</v>
      </c>
      <c r="AD76" s="8">
        <f>INDEX(Hedef!$C$17:$C$21,Kanit!AD76+1)</f>
        <v>0.3</v>
      </c>
      <c r="AE76" s="8">
        <f>INDEX(Hedef!$C$17:$C$21,Kanit!AE76+1)</f>
        <v>0.5</v>
      </c>
      <c r="AF76" s="8">
        <f>INDEX(Hedef!$C$17:$C$21,Kanit!AF76+1)</f>
        <v>0.3</v>
      </c>
      <c r="AG76" s="8">
        <f>INDEX(Hedef!$C$17:$C$21,Kanit!AG76+1)</f>
        <v>0.3</v>
      </c>
    </row>
    <row r="77">
      <c r="A77" s="7" t="str">
        <f>Secenekler!A77</f>
        <v>banner-post-b</v>
      </c>
      <c r="B77" s="7" t="str">
        <f>Secenekler!C77</f>
        <v>Sosyal görsel hizmet paketi (sabit kapsam)</v>
      </c>
      <c r="C77" s="8">
        <f>INDEX(Hedef!$C$17:$C$21,Kanit!C77+1)</f>
        <v>0.3</v>
      </c>
      <c r="D77" s="8">
        <f>INDEX(Hedef!$C$17:$C$21,Kanit!D77+1)</f>
        <v>0.3</v>
      </c>
      <c r="E77" s="8">
        <f>INDEX(Hedef!$C$17:$C$21,Kanit!E77+1)</f>
        <v>0.3</v>
      </c>
      <c r="F77" s="8">
        <f>INDEX(Hedef!$C$17:$C$21,Kanit!F77+1)</f>
        <v>0.3</v>
      </c>
      <c r="G77" s="8">
        <f>INDEX(Hedef!$C$17:$C$21,Kanit!G77+1)</f>
        <v>0.3</v>
      </c>
      <c r="H77" s="8">
        <f>INDEX(Hedef!$C$17:$C$21,Kanit!H77+1)</f>
        <v>0.3</v>
      </c>
      <c r="I77" s="8">
        <f>INDEX(Hedef!$C$17:$C$21,Kanit!I77+1)</f>
        <v>0.5</v>
      </c>
      <c r="J77" s="8">
        <f>INDEX(Hedef!$C$17:$C$21,Kanit!J77+1)</f>
        <v>0.3</v>
      </c>
      <c r="K77" s="8">
        <f>INDEX(Hedef!$C$17:$C$21,Kanit!K77+1)</f>
        <v>0.3</v>
      </c>
      <c r="L77" s="8">
        <f>INDEX(Hedef!$C$17:$C$21,Kanit!L77+1)</f>
        <v>0.3</v>
      </c>
      <c r="M77" s="8">
        <f>INDEX(Hedef!$C$17:$C$21,Kanit!M77+1)</f>
        <v>0.3</v>
      </c>
      <c r="N77" s="8">
        <f>INDEX(Hedef!$C$17:$C$21,Kanit!N77+1)</f>
        <v>0.3</v>
      </c>
      <c r="O77" s="8">
        <f>INDEX(Hedef!$C$17:$C$21,Kanit!O77+1)</f>
        <v>0.3</v>
      </c>
      <c r="P77" s="8">
        <f>INDEX(Hedef!$C$17:$C$21,Kanit!P77+1)</f>
        <v>0.5</v>
      </c>
      <c r="Q77" s="8">
        <f>INDEX(Hedef!$C$17:$C$21,Kanit!Q77+1)</f>
        <v>0.3</v>
      </c>
      <c r="R77" s="8">
        <f>INDEX(Hedef!$C$17:$C$21,Kanit!R77+1)</f>
        <v>0.3</v>
      </c>
      <c r="S77" s="8">
        <f>INDEX(Hedef!$C$17:$C$21,Kanit!S77+1)</f>
        <v>0.3</v>
      </c>
      <c r="T77" s="8">
        <f>INDEX(Hedef!$C$17:$C$21,Kanit!T77+1)</f>
        <v>0.3</v>
      </c>
      <c r="U77" s="8">
        <f>INDEX(Hedef!$C$17:$C$21,Kanit!U77+1)</f>
        <v>0.5</v>
      </c>
      <c r="V77" s="8">
        <f>INDEX(Hedef!$C$17:$C$21,Kanit!V77+1)</f>
        <v>0.3</v>
      </c>
      <c r="W77" s="8">
        <f>INDEX(Hedef!$C$17:$C$21,Kanit!W77+1)</f>
        <v>0.3</v>
      </c>
      <c r="X77" s="8">
        <f>INDEX(Hedef!$C$17:$C$21,Kanit!X77+1)</f>
        <v>0.5</v>
      </c>
      <c r="Y77" s="8">
        <f>INDEX(Hedef!$C$17:$C$21,Kanit!Y77+1)</f>
        <v>0.5</v>
      </c>
      <c r="Z77" s="8">
        <f>INDEX(Hedef!$C$17:$C$21,Kanit!Z77+1)</f>
        <v>0.3</v>
      </c>
      <c r="AA77" s="8">
        <f>INDEX(Hedef!$C$17:$C$21,Kanit!AA77+1)</f>
        <v>0.5</v>
      </c>
      <c r="AB77" s="8">
        <f>INDEX(Hedef!$C$17:$C$21,Kanit!AB77+1)</f>
        <v>0.3</v>
      </c>
      <c r="AD77" s="8">
        <f>INDEX(Hedef!$C$17:$C$21,Kanit!AD77+1)</f>
        <v>0.3</v>
      </c>
      <c r="AE77" s="8">
        <f>INDEX(Hedef!$C$17:$C$21,Kanit!AE77+1)</f>
        <v>0.5</v>
      </c>
      <c r="AF77" s="8">
        <f>INDEX(Hedef!$C$17:$C$21,Kanit!AF77+1)</f>
        <v>0.3</v>
      </c>
      <c r="AG77" s="8">
        <f>INDEX(Hedef!$C$17:$C$21,Kanit!AG77+1)</f>
        <v>0.3</v>
      </c>
    </row>
    <row r="78">
      <c r="A78" s="7" t="str">
        <f>Secenekler!A78</f>
        <v>banner-post-c</v>
      </c>
      <c r="B78" s="7" t="str">
        <f>Secenekler!C78</f>
        <v>Ajanslara toplu banner paketi (CSV)</v>
      </c>
      <c r="C78" s="8">
        <f>INDEX(Hedef!$C$17:$C$21,Kanit!C78+1)</f>
        <v>0.3</v>
      </c>
      <c r="D78" s="8">
        <f>INDEX(Hedef!$C$17:$C$21,Kanit!D78+1)</f>
        <v>0.3</v>
      </c>
      <c r="E78" s="8">
        <f>INDEX(Hedef!$C$17:$C$21,Kanit!E78+1)</f>
        <v>0.3</v>
      </c>
      <c r="F78" s="8">
        <f>INDEX(Hedef!$C$17:$C$21,Kanit!F78+1)</f>
        <v>0.3</v>
      </c>
      <c r="G78" s="8">
        <f>INDEX(Hedef!$C$17:$C$21,Kanit!G78+1)</f>
        <v>0.3</v>
      </c>
      <c r="H78" s="8">
        <f>INDEX(Hedef!$C$17:$C$21,Kanit!H78+1)</f>
        <v>0.3</v>
      </c>
      <c r="I78" s="8">
        <f>INDEX(Hedef!$C$17:$C$21,Kanit!I78+1)</f>
        <v>0.3</v>
      </c>
      <c r="J78" s="8">
        <f>INDEX(Hedef!$C$17:$C$21,Kanit!J78+1)</f>
        <v>0.5</v>
      </c>
      <c r="K78" s="8">
        <f>INDEX(Hedef!$C$17:$C$21,Kanit!K78+1)</f>
        <v>0.3</v>
      </c>
      <c r="L78" s="8">
        <f>INDEX(Hedef!$C$17:$C$21,Kanit!L78+1)</f>
        <v>0.3</v>
      </c>
      <c r="M78" s="8">
        <f>INDEX(Hedef!$C$17:$C$21,Kanit!M78+1)</f>
        <v>0.3</v>
      </c>
      <c r="N78" s="8">
        <f>INDEX(Hedef!$C$17:$C$21,Kanit!N78+1)</f>
        <v>0.3</v>
      </c>
      <c r="O78" s="8">
        <f>INDEX(Hedef!$C$17:$C$21,Kanit!O78+1)</f>
        <v>0.3</v>
      </c>
      <c r="P78" s="8">
        <f>INDEX(Hedef!$C$17:$C$21,Kanit!P78+1)</f>
        <v>0.3</v>
      </c>
      <c r="Q78" s="8">
        <f>INDEX(Hedef!$C$17:$C$21,Kanit!Q78+1)</f>
        <v>0.3</v>
      </c>
      <c r="R78" s="8">
        <f>INDEX(Hedef!$C$17:$C$21,Kanit!R78+1)</f>
        <v>0.3</v>
      </c>
      <c r="S78" s="8">
        <f>INDEX(Hedef!$C$17:$C$21,Kanit!S78+1)</f>
        <v>0.3</v>
      </c>
      <c r="T78" s="8">
        <f>INDEX(Hedef!$C$17:$C$21,Kanit!T78+1)</f>
        <v>0.3</v>
      </c>
      <c r="U78" s="8">
        <f>INDEX(Hedef!$C$17:$C$21,Kanit!U78+1)</f>
        <v>0.5</v>
      </c>
      <c r="V78" s="8">
        <f>INDEX(Hedef!$C$17:$C$21,Kanit!V78+1)</f>
        <v>0.3</v>
      </c>
      <c r="W78" s="8">
        <f>INDEX(Hedef!$C$17:$C$21,Kanit!W78+1)</f>
        <v>0.3</v>
      </c>
      <c r="X78" s="8">
        <f>INDEX(Hedef!$C$17:$C$21,Kanit!X78+1)</f>
        <v>0.3</v>
      </c>
      <c r="Y78" s="8">
        <f>INDEX(Hedef!$C$17:$C$21,Kanit!Y78+1)</f>
        <v>0.5</v>
      </c>
      <c r="Z78" s="8">
        <f>INDEX(Hedef!$C$17:$C$21,Kanit!Z78+1)</f>
        <v>0.3</v>
      </c>
      <c r="AA78" s="8">
        <f>INDEX(Hedef!$C$17:$C$21,Kanit!AA78+1)</f>
        <v>0.3</v>
      </c>
      <c r="AB78" s="8">
        <f>INDEX(Hedef!$C$17:$C$21,Kanit!AB78+1)</f>
        <v>0.3</v>
      </c>
      <c r="AD78" s="8">
        <f>INDEX(Hedef!$C$17:$C$21,Kanit!AD78+1)</f>
        <v>0.3</v>
      </c>
      <c r="AE78" s="8">
        <f>INDEX(Hedef!$C$17:$C$21,Kanit!AE78+1)</f>
        <v>0.3</v>
      </c>
      <c r="AF78" s="8">
        <f>INDEX(Hedef!$C$17:$C$21,Kanit!AF78+1)</f>
        <v>0.3</v>
      </c>
      <c r="AG78" s="8">
        <f>INDEX(Hedef!$C$17:$C$21,Kanit!AG78+1)</f>
        <v>0.3</v>
      </c>
    </row>
    <row r="79">
      <c r="A79" s="7" t="str">
        <f>Secenekler!A79</f>
        <v>karar-sihirbazi-a</v>
      </c>
      <c r="B79" s="7" t="str">
        <f>Secenekler!C79</f>
        <v>Ajanslara white-label keşif sihirbazı aboneliği</v>
      </c>
      <c r="C79" s="8">
        <f>INDEX(Hedef!$C$17:$C$21,Kanit!C79+1)</f>
        <v>0.3</v>
      </c>
      <c r="D79" s="8">
        <f>INDEX(Hedef!$C$17:$C$21,Kanit!D79+1)</f>
        <v>0.3</v>
      </c>
      <c r="E79" s="8">
        <f>INDEX(Hedef!$C$17:$C$21,Kanit!E79+1)</f>
        <v>0.5</v>
      </c>
      <c r="F79" s="8">
        <f>INDEX(Hedef!$C$17:$C$21,Kanit!F79+1)</f>
        <v>0.5</v>
      </c>
      <c r="G79" s="8">
        <f>INDEX(Hedef!$C$17:$C$21,Kanit!G79+1)</f>
        <v>0.3</v>
      </c>
      <c r="H79" s="8">
        <f>INDEX(Hedef!$C$17:$C$21,Kanit!H79+1)</f>
        <v>0.5</v>
      </c>
      <c r="I79" s="8">
        <f>INDEX(Hedef!$C$17:$C$21,Kanit!I79+1)</f>
        <v>0.5</v>
      </c>
      <c r="J79" s="8">
        <f>INDEX(Hedef!$C$17:$C$21,Kanit!J79+1)</f>
        <v>0.3</v>
      </c>
      <c r="K79" s="8">
        <f>INDEX(Hedef!$C$17:$C$21,Kanit!K79+1)</f>
        <v>0.3</v>
      </c>
      <c r="L79" s="8">
        <f>INDEX(Hedef!$C$17:$C$21,Kanit!L79+1)</f>
        <v>0.3</v>
      </c>
      <c r="M79" s="8">
        <f>INDEX(Hedef!$C$17:$C$21,Kanit!M79+1)</f>
        <v>0.3</v>
      </c>
      <c r="N79" s="8">
        <f>INDEX(Hedef!$C$17:$C$21,Kanit!N79+1)</f>
        <v>0.3</v>
      </c>
      <c r="O79" s="8">
        <f>INDEX(Hedef!$C$17:$C$21,Kanit!O79+1)</f>
        <v>0.5</v>
      </c>
      <c r="P79" s="8">
        <f>INDEX(Hedef!$C$17:$C$21,Kanit!P79+1)</f>
        <v>0.5</v>
      </c>
      <c r="Q79" s="8">
        <f>INDEX(Hedef!$C$17:$C$21,Kanit!Q79+1)</f>
        <v>0.3</v>
      </c>
      <c r="R79" s="8">
        <f>INDEX(Hedef!$C$17:$C$21,Kanit!R79+1)</f>
        <v>0.3</v>
      </c>
      <c r="S79" s="8">
        <f>INDEX(Hedef!$C$17:$C$21,Kanit!S79+1)</f>
        <v>0.3</v>
      </c>
      <c r="T79" s="8">
        <f>INDEX(Hedef!$C$17:$C$21,Kanit!T79+1)</f>
        <v>0.3</v>
      </c>
      <c r="U79" s="8">
        <f>INDEX(Hedef!$C$17:$C$21,Kanit!U79+1)</f>
        <v>0.5</v>
      </c>
      <c r="V79" s="8">
        <f>INDEX(Hedef!$C$17:$C$21,Kanit!V79+1)</f>
        <v>0.3</v>
      </c>
      <c r="W79" s="8">
        <f>INDEX(Hedef!$C$17:$C$21,Kanit!W79+1)</f>
        <v>0.3</v>
      </c>
      <c r="X79" s="8">
        <f>INDEX(Hedef!$C$17:$C$21,Kanit!X79+1)</f>
        <v>0.5</v>
      </c>
      <c r="Y79" s="8">
        <f>INDEX(Hedef!$C$17:$C$21,Kanit!Y79+1)</f>
        <v>0.5</v>
      </c>
      <c r="Z79" s="8">
        <f>INDEX(Hedef!$C$17:$C$21,Kanit!Z79+1)</f>
        <v>0.3</v>
      </c>
      <c r="AA79" s="8">
        <f>INDEX(Hedef!$C$17:$C$21,Kanit!AA79+1)</f>
        <v>0.3</v>
      </c>
      <c r="AB79" s="8">
        <f>INDEX(Hedef!$C$17:$C$21,Kanit!AB79+1)</f>
        <v>0.3</v>
      </c>
      <c r="AD79" s="8">
        <f>INDEX(Hedef!$C$17:$C$21,Kanit!AD79+1)</f>
        <v>0.3</v>
      </c>
      <c r="AE79" s="8">
        <f>INDEX(Hedef!$C$17:$C$21,Kanit!AE79+1)</f>
        <v>0.5</v>
      </c>
      <c r="AF79" s="8">
        <f>INDEX(Hedef!$C$17:$C$21,Kanit!AF79+1)</f>
        <v>0.3</v>
      </c>
      <c r="AG79" s="8">
        <f>INDEX(Hedef!$C$17:$C$21,Kanit!AG79+1)</f>
        <v>0.3</v>
      </c>
    </row>
    <row r="80">
      <c r="A80" s="7" t="str">
        <f>Secenekler!A80</f>
        <v>karar-sihirbazi-b</v>
      </c>
      <c r="B80" s="7" t="str">
        <f>Secenekler!C80</f>
        <v>Proje başı stack karar dosyası (sabit kapsamlı hizmet)</v>
      </c>
      <c r="C80" s="8">
        <f>INDEX(Hedef!$C$17:$C$21,Kanit!C80+1)</f>
        <v>0.3</v>
      </c>
      <c r="D80" s="8">
        <f>INDEX(Hedef!$C$17:$C$21,Kanit!D80+1)</f>
        <v>0.3</v>
      </c>
      <c r="E80" s="8">
        <f>INDEX(Hedef!$C$17:$C$21,Kanit!E80+1)</f>
        <v>0.3</v>
      </c>
      <c r="F80" s="8">
        <f>INDEX(Hedef!$C$17:$C$21,Kanit!F80+1)</f>
        <v>0.5</v>
      </c>
      <c r="G80" s="8">
        <f>INDEX(Hedef!$C$17:$C$21,Kanit!G80+1)</f>
        <v>0.3</v>
      </c>
      <c r="H80" s="8">
        <f>INDEX(Hedef!$C$17:$C$21,Kanit!H80+1)</f>
        <v>0.3</v>
      </c>
      <c r="I80" s="8">
        <f>INDEX(Hedef!$C$17:$C$21,Kanit!I80+1)</f>
        <v>0.5</v>
      </c>
      <c r="J80" s="8">
        <f>INDEX(Hedef!$C$17:$C$21,Kanit!J80+1)</f>
        <v>0.3</v>
      </c>
      <c r="K80" s="8">
        <f>INDEX(Hedef!$C$17:$C$21,Kanit!K80+1)</f>
        <v>0.3</v>
      </c>
      <c r="L80" s="8">
        <f>INDEX(Hedef!$C$17:$C$21,Kanit!L80+1)</f>
        <v>0.3</v>
      </c>
      <c r="M80" s="8">
        <f>INDEX(Hedef!$C$17:$C$21,Kanit!M80+1)</f>
        <v>0.3</v>
      </c>
      <c r="N80" s="8">
        <f>INDEX(Hedef!$C$17:$C$21,Kanit!N80+1)</f>
        <v>0.3</v>
      </c>
      <c r="O80" s="8">
        <f>INDEX(Hedef!$C$17:$C$21,Kanit!O80+1)</f>
        <v>0.3</v>
      </c>
      <c r="P80" s="8">
        <f>INDEX(Hedef!$C$17:$C$21,Kanit!P80+1)</f>
        <v>0.5</v>
      </c>
      <c r="Q80" s="8">
        <f>INDEX(Hedef!$C$17:$C$21,Kanit!Q80+1)</f>
        <v>0.3</v>
      </c>
      <c r="R80" s="8">
        <f>INDEX(Hedef!$C$17:$C$21,Kanit!R80+1)</f>
        <v>0.3</v>
      </c>
      <c r="S80" s="8">
        <f>INDEX(Hedef!$C$17:$C$21,Kanit!S80+1)</f>
        <v>0.3</v>
      </c>
      <c r="T80" s="8">
        <f>INDEX(Hedef!$C$17:$C$21,Kanit!T80+1)</f>
        <v>0.3</v>
      </c>
      <c r="U80" s="8">
        <f>INDEX(Hedef!$C$17:$C$21,Kanit!U80+1)</f>
        <v>0.5</v>
      </c>
      <c r="V80" s="8">
        <f>INDEX(Hedef!$C$17:$C$21,Kanit!V80+1)</f>
        <v>0.3</v>
      </c>
      <c r="W80" s="8">
        <f>INDEX(Hedef!$C$17:$C$21,Kanit!W80+1)</f>
        <v>0.3</v>
      </c>
      <c r="X80" s="8">
        <f>INDEX(Hedef!$C$17:$C$21,Kanit!X80+1)</f>
        <v>0.5</v>
      </c>
      <c r="Y80" s="8">
        <f>INDEX(Hedef!$C$17:$C$21,Kanit!Y80+1)</f>
        <v>0.5</v>
      </c>
      <c r="Z80" s="8">
        <f>INDEX(Hedef!$C$17:$C$21,Kanit!Z80+1)</f>
        <v>0.3</v>
      </c>
      <c r="AA80" s="8">
        <f>INDEX(Hedef!$C$17:$C$21,Kanit!AA80+1)</f>
        <v>0.3</v>
      </c>
      <c r="AB80" s="8">
        <f>INDEX(Hedef!$C$17:$C$21,Kanit!AB80+1)</f>
        <v>0.3</v>
      </c>
      <c r="AD80" s="8">
        <f>INDEX(Hedef!$C$17:$C$21,Kanit!AD80+1)</f>
        <v>0.3</v>
      </c>
      <c r="AE80" s="8">
        <f>INDEX(Hedef!$C$17:$C$21,Kanit!AE80+1)</f>
        <v>0.3</v>
      </c>
      <c r="AF80" s="8">
        <f>INDEX(Hedef!$C$17:$C$21,Kanit!AF80+1)</f>
        <v>0.3</v>
      </c>
      <c r="AG80" s="8">
        <f>INDEX(Hedef!$C$17:$C$21,Kanit!AG80+1)</f>
        <v>0.3</v>
      </c>
    </row>
    <row r="81">
      <c r="A81" s="7" t="str">
        <f>Secenekler!A81</f>
        <v>karar-sihirbazi-c</v>
      </c>
      <c r="B81" s="7" t="str">
        <f>Secenekler!C81</f>
        <v>Ajans için uyarlanmış keşif formu kiti (tek seferlik)</v>
      </c>
      <c r="C81" s="8">
        <f>INDEX(Hedef!$C$17:$C$21,Kanit!C81+1)</f>
        <v>0.3</v>
      </c>
      <c r="D81" s="8">
        <f>INDEX(Hedef!$C$17:$C$21,Kanit!D81+1)</f>
        <v>0.3</v>
      </c>
      <c r="E81" s="8">
        <f>INDEX(Hedef!$C$17:$C$21,Kanit!E81+1)</f>
        <v>0.5</v>
      </c>
      <c r="F81" s="8">
        <f>INDEX(Hedef!$C$17:$C$21,Kanit!F81+1)</f>
        <v>0.5</v>
      </c>
      <c r="G81" s="8">
        <f>INDEX(Hedef!$C$17:$C$21,Kanit!G81+1)</f>
        <v>0.3</v>
      </c>
      <c r="H81" s="8">
        <f>INDEX(Hedef!$C$17:$C$21,Kanit!H81+1)</f>
        <v>0.3</v>
      </c>
      <c r="I81" s="8">
        <f>INDEX(Hedef!$C$17:$C$21,Kanit!I81+1)</f>
        <v>0.5</v>
      </c>
      <c r="J81" s="8">
        <f>INDEX(Hedef!$C$17:$C$21,Kanit!J81+1)</f>
        <v>0.3</v>
      </c>
      <c r="K81" s="8">
        <f>INDEX(Hedef!$C$17:$C$21,Kanit!K81+1)</f>
        <v>0.3</v>
      </c>
      <c r="L81" s="8">
        <f>INDEX(Hedef!$C$17:$C$21,Kanit!L81+1)</f>
        <v>0.3</v>
      </c>
      <c r="M81" s="8">
        <f>INDEX(Hedef!$C$17:$C$21,Kanit!M81+1)</f>
        <v>0.3</v>
      </c>
      <c r="N81" s="8">
        <f>INDEX(Hedef!$C$17:$C$21,Kanit!N81+1)</f>
        <v>0.3</v>
      </c>
      <c r="O81" s="8">
        <f>INDEX(Hedef!$C$17:$C$21,Kanit!O81+1)</f>
        <v>0.3</v>
      </c>
      <c r="P81" s="8">
        <f>INDEX(Hedef!$C$17:$C$21,Kanit!P81+1)</f>
        <v>0.5</v>
      </c>
      <c r="Q81" s="8">
        <f>INDEX(Hedef!$C$17:$C$21,Kanit!Q81+1)</f>
        <v>0.3</v>
      </c>
      <c r="R81" s="8">
        <f>INDEX(Hedef!$C$17:$C$21,Kanit!R81+1)</f>
        <v>0.3</v>
      </c>
      <c r="S81" s="8">
        <f>INDEX(Hedef!$C$17:$C$21,Kanit!S81+1)</f>
        <v>0.3</v>
      </c>
      <c r="T81" s="8">
        <f>INDEX(Hedef!$C$17:$C$21,Kanit!T81+1)</f>
        <v>0.3</v>
      </c>
      <c r="U81" s="8">
        <f>INDEX(Hedef!$C$17:$C$21,Kanit!U81+1)</f>
        <v>0.5</v>
      </c>
      <c r="V81" s="8">
        <f>INDEX(Hedef!$C$17:$C$21,Kanit!V81+1)</f>
        <v>0.3</v>
      </c>
      <c r="W81" s="8">
        <f>INDEX(Hedef!$C$17:$C$21,Kanit!W81+1)</f>
        <v>0.3</v>
      </c>
      <c r="X81" s="8">
        <f>INDEX(Hedef!$C$17:$C$21,Kanit!X81+1)</f>
        <v>0.5</v>
      </c>
      <c r="Y81" s="8">
        <f>INDEX(Hedef!$C$17:$C$21,Kanit!Y81+1)</f>
        <v>0.5</v>
      </c>
      <c r="Z81" s="8">
        <f>INDEX(Hedef!$C$17:$C$21,Kanit!Z81+1)</f>
        <v>0.3</v>
      </c>
      <c r="AA81" s="8">
        <f>INDEX(Hedef!$C$17:$C$21,Kanit!AA81+1)</f>
        <v>0.3</v>
      </c>
      <c r="AB81" s="8">
        <f>INDEX(Hedef!$C$17:$C$21,Kanit!AB81+1)</f>
        <v>0.3</v>
      </c>
      <c r="AD81" s="8">
        <f>INDEX(Hedef!$C$17:$C$21,Kanit!AD81+1)</f>
        <v>0.3</v>
      </c>
      <c r="AE81" s="8">
        <f>INDEX(Hedef!$C$17:$C$21,Kanit!AE81+1)</f>
        <v>0.5</v>
      </c>
      <c r="AF81" s="8">
        <f>INDEX(Hedef!$C$17:$C$21,Kanit!AF81+1)</f>
        <v>0.3</v>
      </c>
      <c r="AG81" s="8">
        <f>INDEX(Hedef!$C$17:$C$21,Kanit!AG81+1)</f>
        <v>0.3</v>
      </c>
    </row>
    <row r="82">
      <c r="A82" s="7" t="str">
        <f>Secenekler!A82</f>
        <v>sunum-bi-hizmeti-a</v>
      </c>
      <c r="B82" s="7" t="str">
        <f>Secenekler!C82</f>
        <v>Katalogdan toplu markalı sunum seti (sabit paket)</v>
      </c>
      <c r="C82" s="8">
        <f>INDEX(Hedef!$C$17:$C$21,Kanit!C82+1)</f>
        <v>0.3</v>
      </c>
      <c r="D82" s="8">
        <f>INDEX(Hedef!$C$17:$C$21,Kanit!D82+1)</f>
        <v>0.3</v>
      </c>
      <c r="E82" s="8">
        <f>INDEX(Hedef!$C$17:$C$21,Kanit!E82+1)</f>
        <v>0.3</v>
      </c>
      <c r="F82" s="8">
        <f>INDEX(Hedef!$C$17:$C$21,Kanit!F82+1)</f>
        <v>0.5</v>
      </c>
      <c r="G82" s="8">
        <f>INDEX(Hedef!$C$17:$C$21,Kanit!G82+1)</f>
        <v>0.3</v>
      </c>
      <c r="H82" s="8">
        <f>INDEX(Hedef!$C$17:$C$21,Kanit!H82+1)</f>
        <v>0.3</v>
      </c>
      <c r="I82" s="8">
        <f>INDEX(Hedef!$C$17:$C$21,Kanit!I82+1)</f>
        <v>0.5</v>
      </c>
      <c r="J82" s="8">
        <f>INDEX(Hedef!$C$17:$C$21,Kanit!J82+1)</f>
        <v>0.3</v>
      </c>
      <c r="K82" s="8">
        <f>INDEX(Hedef!$C$17:$C$21,Kanit!K82+1)</f>
        <v>0.3</v>
      </c>
      <c r="L82" s="8">
        <f>INDEX(Hedef!$C$17:$C$21,Kanit!L82+1)</f>
        <v>0.3</v>
      </c>
      <c r="M82" s="8">
        <f>INDEX(Hedef!$C$17:$C$21,Kanit!M82+1)</f>
        <v>0.3</v>
      </c>
      <c r="N82" s="8">
        <f>INDEX(Hedef!$C$17:$C$21,Kanit!N82+1)</f>
        <v>0.3</v>
      </c>
      <c r="O82" s="8">
        <f>INDEX(Hedef!$C$17:$C$21,Kanit!O82+1)</f>
        <v>0.3</v>
      </c>
      <c r="P82" s="8">
        <f>INDEX(Hedef!$C$17:$C$21,Kanit!P82+1)</f>
        <v>0.3</v>
      </c>
      <c r="Q82" s="8">
        <f>INDEX(Hedef!$C$17:$C$21,Kanit!Q82+1)</f>
        <v>0.3</v>
      </c>
      <c r="R82" s="8">
        <f>INDEX(Hedef!$C$17:$C$21,Kanit!R82+1)</f>
        <v>0.3</v>
      </c>
      <c r="S82" s="8">
        <f>INDEX(Hedef!$C$17:$C$21,Kanit!S82+1)</f>
        <v>0.3</v>
      </c>
      <c r="T82" s="8">
        <f>INDEX(Hedef!$C$17:$C$21,Kanit!T82+1)</f>
        <v>0.3</v>
      </c>
      <c r="U82" s="8">
        <f>INDEX(Hedef!$C$17:$C$21,Kanit!U82+1)</f>
        <v>0.3</v>
      </c>
      <c r="V82" s="8">
        <f>INDEX(Hedef!$C$17:$C$21,Kanit!V82+1)</f>
        <v>0.3</v>
      </c>
      <c r="W82" s="8">
        <f>INDEX(Hedef!$C$17:$C$21,Kanit!W82+1)</f>
        <v>0.3</v>
      </c>
      <c r="X82" s="8">
        <f>INDEX(Hedef!$C$17:$C$21,Kanit!X82+1)</f>
        <v>0.5</v>
      </c>
      <c r="Y82" s="8">
        <f>INDEX(Hedef!$C$17:$C$21,Kanit!Y82+1)</f>
        <v>0.5</v>
      </c>
      <c r="Z82" s="8">
        <f>INDEX(Hedef!$C$17:$C$21,Kanit!Z82+1)</f>
        <v>0.3</v>
      </c>
      <c r="AA82" s="8">
        <f>INDEX(Hedef!$C$17:$C$21,Kanit!AA82+1)</f>
        <v>0.3</v>
      </c>
      <c r="AB82" s="8">
        <f>INDEX(Hedef!$C$17:$C$21,Kanit!AB82+1)</f>
        <v>0.3</v>
      </c>
      <c r="AD82" s="8">
        <f>INDEX(Hedef!$C$17:$C$21,Kanit!AD82+1)</f>
        <v>0.3</v>
      </c>
      <c r="AE82" s="8">
        <f>INDEX(Hedef!$C$17:$C$21,Kanit!AE82+1)</f>
        <v>0.5</v>
      </c>
      <c r="AF82" s="8">
        <f>INDEX(Hedef!$C$17:$C$21,Kanit!AF82+1)</f>
        <v>0.3</v>
      </c>
      <c r="AG82" s="8">
        <f>INDEX(Hedef!$C$17:$C$21,Kanit!AG82+1)</f>
        <v>0.3</v>
      </c>
    </row>
    <row r="83">
      <c r="A83" s="7" t="str">
        <f>Secenekler!A83</f>
        <v>sunum-bi-hizmeti-b</v>
      </c>
      <c r="B83" s="7" t="str">
        <f>Secenekler!C83</f>
        <v>Butik ajanslara çok markalı sunum üretim aboneliği</v>
      </c>
      <c r="C83" s="8">
        <f>INDEX(Hedef!$C$17:$C$21,Kanit!C83+1)</f>
        <v>0.3</v>
      </c>
      <c r="D83" s="8">
        <f>INDEX(Hedef!$C$17:$C$21,Kanit!D83+1)</f>
        <v>0.3</v>
      </c>
      <c r="E83" s="8">
        <f>INDEX(Hedef!$C$17:$C$21,Kanit!E83+1)</f>
        <v>0.3</v>
      </c>
      <c r="F83" s="8">
        <f>INDEX(Hedef!$C$17:$C$21,Kanit!F83+1)</f>
        <v>0.3</v>
      </c>
      <c r="G83" s="8">
        <f>INDEX(Hedef!$C$17:$C$21,Kanit!G83+1)</f>
        <v>0.3</v>
      </c>
      <c r="H83" s="8">
        <f>INDEX(Hedef!$C$17:$C$21,Kanit!H83+1)</f>
        <v>0.3</v>
      </c>
      <c r="I83" s="8">
        <f>INDEX(Hedef!$C$17:$C$21,Kanit!I83+1)</f>
        <v>0.3</v>
      </c>
      <c r="J83" s="8">
        <f>INDEX(Hedef!$C$17:$C$21,Kanit!J83+1)</f>
        <v>0.3</v>
      </c>
      <c r="K83" s="8">
        <f>INDEX(Hedef!$C$17:$C$21,Kanit!K83+1)</f>
        <v>0.3</v>
      </c>
      <c r="L83" s="8">
        <f>INDEX(Hedef!$C$17:$C$21,Kanit!L83+1)</f>
        <v>0.3</v>
      </c>
      <c r="M83" s="8">
        <f>INDEX(Hedef!$C$17:$C$21,Kanit!M83+1)</f>
        <v>0.3</v>
      </c>
      <c r="N83" s="8">
        <f>INDEX(Hedef!$C$17:$C$21,Kanit!N83+1)</f>
        <v>0.3</v>
      </c>
      <c r="O83" s="8">
        <f>INDEX(Hedef!$C$17:$C$21,Kanit!O83+1)</f>
        <v>0.3</v>
      </c>
      <c r="P83" s="8">
        <f>INDEX(Hedef!$C$17:$C$21,Kanit!P83+1)</f>
        <v>0.3</v>
      </c>
      <c r="Q83" s="8">
        <f>INDEX(Hedef!$C$17:$C$21,Kanit!Q83+1)</f>
        <v>0.3</v>
      </c>
      <c r="R83" s="8">
        <f>INDEX(Hedef!$C$17:$C$21,Kanit!R83+1)</f>
        <v>0.3</v>
      </c>
      <c r="S83" s="8">
        <f>INDEX(Hedef!$C$17:$C$21,Kanit!S83+1)</f>
        <v>0.3</v>
      </c>
      <c r="T83" s="8">
        <f>INDEX(Hedef!$C$17:$C$21,Kanit!T83+1)</f>
        <v>0.3</v>
      </c>
      <c r="U83" s="8">
        <f>INDEX(Hedef!$C$17:$C$21,Kanit!U83+1)</f>
        <v>0.3</v>
      </c>
      <c r="V83" s="8">
        <f>INDEX(Hedef!$C$17:$C$21,Kanit!V83+1)</f>
        <v>0.3</v>
      </c>
      <c r="W83" s="8">
        <f>INDEX(Hedef!$C$17:$C$21,Kanit!W83+1)</f>
        <v>0.3</v>
      </c>
      <c r="X83" s="8">
        <f>INDEX(Hedef!$C$17:$C$21,Kanit!X83+1)</f>
        <v>0.3</v>
      </c>
      <c r="Y83" s="8">
        <f>INDEX(Hedef!$C$17:$C$21,Kanit!Y83+1)</f>
        <v>0.5</v>
      </c>
      <c r="Z83" s="8">
        <f>INDEX(Hedef!$C$17:$C$21,Kanit!Z83+1)</f>
        <v>0.3</v>
      </c>
      <c r="AA83" s="8">
        <f>INDEX(Hedef!$C$17:$C$21,Kanit!AA83+1)</f>
        <v>0.3</v>
      </c>
      <c r="AB83" s="8">
        <f>INDEX(Hedef!$C$17:$C$21,Kanit!AB83+1)</f>
        <v>0.3</v>
      </c>
      <c r="AD83" s="8">
        <f>INDEX(Hedef!$C$17:$C$21,Kanit!AD83+1)</f>
        <v>0.3</v>
      </c>
      <c r="AE83" s="8">
        <f>INDEX(Hedef!$C$17:$C$21,Kanit!AE83+1)</f>
        <v>0.3</v>
      </c>
      <c r="AF83" s="8">
        <f>INDEX(Hedef!$C$17:$C$21,Kanit!AF83+1)</f>
        <v>0.3</v>
      </c>
      <c r="AG83" s="8">
        <f>INDEX(Hedef!$C$17:$C$21,Kanit!AG83+1)</f>
        <v>0.3</v>
      </c>
    </row>
    <row r="84">
      <c r="A84" s="7" t="str">
        <f>Secenekler!A84</f>
        <v>sunum-bi-hizmeti-c</v>
      </c>
      <c r="B84" s="7" t="str">
        <f>Secenekler!C84</f>
        <v>Danışmana tek kaynaktan yönetici karar dosyası üretimi</v>
      </c>
      <c r="C84" s="8">
        <f>INDEX(Hedef!$C$17:$C$21,Kanit!C84+1)</f>
        <v>0.3</v>
      </c>
      <c r="D84" s="8">
        <f>INDEX(Hedef!$C$17:$C$21,Kanit!D84+1)</f>
        <v>0.3</v>
      </c>
      <c r="E84" s="8">
        <f>INDEX(Hedef!$C$17:$C$21,Kanit!E84+1)</f>
        <v>0.3</v>
      </c>
      <c r="F84" s="8">
        <f>INDEX(Hedef!$C$17:$C$21,Kanit!F84+1)</f>
        <v>0.3</v>
      </c>
      <c r="G84" s="8">
        <f>INDEX(Hedef!$C$17:$C$21,Kanit!G84+1)</f>
        <v>0.3</v>
      </c>
      <c r="H84" s="8">
        <f>INDEX(Hedef!$C$17:$C$21,Kanit!H84+1)</f>
        <v>0.3</v>
      </c>
      <c r="I84" s="8">
        <f>INDEX(Hedef!$C$17:$C$21,Kanit!I84+1)</f>
        <v>0.3</v>
      </c>
      <c r="J84" s="8">
        <f>INDEX(Hedef!$C$17:$C$21,Kanit!J84+1)</f>
        <v>0.3</v>
      </c>
      <c r="K84" s="8">
        <f>INDEX(Hedef!$C$17:$C$21,Kanit!K84+1)</f>
        <v>0.3</v>
      </c>
      <c r="L84" s="8">
        <f>INDEX(Hedef!$C$17:$C$21,Kanit!L84+1)</f>
        <v>0.3</v>
      </c>
      <c r="M84" s="8">
        <f>INDEX(Hedef!$C$17:$C$21,Kanit!M84+1)</f>
        <v>0.3</v>
      </c>
      <c r="N84" s="8">
        <f>INDEX(Hedef!$C$17:$C$21,Kanit!N84+1)</f>
        <v>0.3</v>
      </c>
      <c r="O84" s="8">
        <f>INDEX(Hedef!$C$17:$C$21,Kanit!O84+1)</f>
        <v>0.3</v>
      </c>
      <c r="P84" s="8">
        <f>INDEX(Hedef!$C$17:$C$21,Kanit!P84+1)</f>
        <v>0.3</v>
      </c>
      <c r="Q84" s="8">
        <f>INDEX(Hedef!$C$17:$C$21,Kanit!Q84+1)</f>
        <v>0.3</v>
      </c>
      <c r="R84" s="8">
        <f>INDEX(Hedef!$C$17:$C$21,Kanit!R84+1)</f>
        <v>0.3</v>
      </c>
      <c r="S84" s="8">
        <f>INDEX(Hedef!$C$17:$C$21,Kanit!S84+1)</f>
        <v>0.3</v>
      </c>
      <c r="T84" s="8">
        <f>INDEX(Hedef!$C$17:$C$21,Kanit!T84+1)</f>
        <v>0.3</v>
      </c>
      <c r="U84" s="8">
        <f>INDEX(Hedef!$C$17:$C$21,Kanit!U84+1)</f>
        <v>0.3</v>
      </c>
      <c r="V84" s="8">
        <f>INDEX(Hedef!$C$17:$C$21,Kanit!V84+1)</f>
        <v>0.3</v>
      </c>
      <c r="W84" s="8">
        <f>INDEX(Hedef!$C$17:$C$21,Kanit!W84+1)</f>
        <v>0.3</v>
      </c>
      <c r="X84" s="8">
        <f>INDEX(Hedef!$C$17:$C$21,Kanit!X84+1)</f>
        <v>0.3</v>
      </c>
      <c r="Y84" s="8">
        <f>INDEX(Hedef!$C$17:$C$21,Kanit!Y84+1)</f>
        <v>0.5</v>
      </c>
      <c r="Z84" s="8">
        <f>INDEX(Hedef!$C$17:$C$21,Kanit!Z84+1)</f>
        <v>0.3</v>
      </c>
      <c r="AA84" s="8">
        <f>INDEX(Hedef!$C$17:$C$21,Kanit!AA84+1)</f>
        <v>0.3</v>
      </c>
      <c r="AB84" s="8">
        <f>INDEX(Hedef!$C$17:$C$21,Kanit!AB84+1)</f>
        <v>0.3</v>
      </c>
      <c r="AD84" s="8">
        <f>INDEX(Hedef!$C$17:$C$21,Kanit!AD84+1)</f>
        <v>0.3</v>
      </c>
      <c r="AE84" s="8">
        <f>INDEX(Hedef!$C$17:$C$21,Kanit!AE84+1)</f>
        <v>0.3</v>
      </c>
      <c r="AF84" s="8">
        <f>INDEX(Hedef!$C$17:$C$21,Kanit!AF84+1)</f>
        <v>0.3</v>
      </c>
      <c r="AG84" s="8">
        <f>INDEX(Hedef!$C$17:$C$21,Kanit!AG84+1)</f>
        <v>0.3</v>
      </c>
    </row>
    <row r="85">
      <c r="A85" s="7" t="str">
        <f>Secenekler!A85</f>
        <v>ik-paneli-hizmeti-a</v>
      </c>
      <c r="B85" s="7" t="str">
        <f>Secenekler!C85</f>
        <v>SaaS satış demosu 7 günde (sabit paket)</v>
      </c>
      <c r="C85" s="8">
        <f>INDEX(Hedef!$C$17:$C$21,Kanit!C85+1)</f>
        <v>0.3</v>
      </c>
      <c r="D85" s="8">
        <f>INDEX(Hedef!$C$17:$C$21,Kanit!D85+1)</f>
        <v>0.3</v>
      </c>
      <c r="E85" s="8">
        <f>INDEX(Hedef!$C$17:$C$21,Kanit!E85+1)</f>
        <v>0.5</v>
      </c>
      <c r="F85" s="8">
        <f>INDEX(Hedef!$C$17:$C$21,Kanit!F85+1)</f>
        <v>0.5</v>
      </c>
      <c r="G85" s="8">
        <f>INDEX(Hedef!$C$17:$C$21,Kanit!G85+1)</f>
        <v>0.3</v>
      </c>
      <c r="H85" s="8">
        <f>INDEX(Hedef!$C$17:$C$21,Kanit!H85+1)</f>
        <v>0.5</v>
      </c>
      <c r="I85" s="8">
        <f>INDEX(Hedef!$C$17:$C$21,Kanit!I85+1)</f>
        <v>0.5</v>
      </c>
      <c r="J85" s="8">
        <f>INDEX(Hedef!$C$17:$C$21,Kanit!J85+1)</f>
        <v>0.3</v>
      </c>
      <c r="K85" s="8">
        <f>INDEX(Hedef!$C$17:$C$21,Kanit!K85+1)</f>
        <v>0.3</v>
      </c>
      <c r="L85" s="8">
        <f>INDEX(Hedef!$C$17:$C$21,Kanit!L85+1)</f>
        <v>0.3</v>
      </c>
      <c r="M85" s="8">
        <f>INDEX(Hedef!$C$17:$C$21,Kanit!M85+1)</f>
        <v>0.3</v>
      </c>
      <c r="N85" s="8">
        <f>INDEX(Hedef!$C$17:$C$21,Kanit!N85+1)</f>
        <v>0.3</v>
      </c>
      <c r="O85" s="8">
        <f>INDEX(Hedef!$C$17:$C$21,Kanit!O85+1)</f>
        <v>0.3</v>
      </c>
      <c r="P85" s="8">
        <f>INDEX(Hedef!$C$17:$C$21,Kanit!P85+1)</f>
        <v>0.5</v>
      </c>
      <c r="Q85" s="8">
        <f>INDEX(Hedef!$C$17:$C$21,Kanit!Q85+1)</f>
        <v>0.3</v>
      </c>
      <c r="R85" s="8">
        <f>INDEX(Hedef!$C$17:$C$21,Kanit!R85+1)</f>
        <v>0.3</v>
      </c>
      <c r="S85" s="8">
        <f>INDEX(Hedef!$C$17:$C$21,Kanit!S85+1)</f>
        <v>0.3</v>
      </c>
      <c r="T85" s="8">
        <f>INDEX(Hedef!$C$17:$C$21,Kanit!T85+1)</f>
        <v>0.5</v>
      </c>
      <c r="U85" s="8">
        <f>INDEX(Hedef!$C$17:$C$21,Kanit!U85+1)</f>
        <v>0.3</v>
      </c>
      <c r="V85" s="8">
        <f>INDEX(Hedef!$C$17:$C$21,Kanit!V85+1)</f>
        <v>0.3</v>
      </c>
      <c r="W85" s="8">
        <f>INDEX(Hedef!$C$17:$C$21,Kanit!W85+1)</f>
        <v>0.3</v>
      </c>
      <c r="X85" s="8">
        <f>INDEX(Hedef!$C$17:$C$21,Kanit!X85+1)</f>
        <v>0.5</v>
      </c>
      <c r="Y85" s="8">
        <f>INDEX(Hedef!$C$17:$C$21,Kanit!Y85+1)</f>
        <v>0.5</v>
      </c>
      <c r="Z85" s="8">
        <f>INDEX(Hedef!$C$17:$C$21,Kanit!Z85+1)</f>
        <v>0.3</v>
      </c>
      <c r="AA85" s="8">
        <f>INDEX(Hedef!$C$17:$C$21,Kanit!AA85+1)</f>
        <v>0.3</v>
      </c>
      <c r="AB85" s="8">
        <f>INDEX(Hedef!$C$17:$C$21,Kanit!AB85+1)</f>
        <v>0.3</v>
      </c>
      <c r="AD85" s="8">
        <f>INDEX(Hedef!$C$17:$C$21,Kanit!AD85+1)</f>
        <v>0.3</v>
      </c>
      <c r="AE85" s="8">
        <f>INDEX(Hedef!$C$17:$C$21,Kanit!AE85+1)</f>
        <v>0.3</v>
      </c>
      <c r="AF85" s="8">
        <f>INDEX(Hedef!$C$17:$C$21,Kanit!AF85+1)</f>
        <v>0.3</v>
      </c>
      <c r="AG85" s="8">
        <f>INDEX(Hedef!$C$17:$C$21,Kanit!AG85+1)</f>
        <v>0.3</v>
      </c>
    </row>
    <row r="86">
      <c r="A86" s="7" t="str">
        <f>Secenekler!A86</f>
        <v>ik-paneli-hizmeti-b</v>
      </c>
      <c r="B86" s="7" t="str">
        <f>Secenekler!C86</f>
        <v>Ajanslara beyaz etiket aylık demo paketi</v>
      </c>
      <c r="C86" s="8">
        <f>INDEX(Hedef!$C$17:$C$21,Kanit!C86+1)</f>
        <v>0.3</v>
      </c>
      <c r="D86" s="8">
        <f>INDEX(Hedef!$C$17:$C$21,Kanit!D86+1)</f>
        <v>0.3</v>
      </c>
      <c r="E86" s="8">
        <f>INDEX(Hedef!$C$17:$C$21,Kanit!E86+1)</f>
        <v>0.3</v>
      </c>
      <c r="F86" s="8">
        <f>INDEX(Hedef!$C$17:$C$21,Kanit!F86+1)</f>
        <v>0.3</v>
      </c>
      <c r="G86" s="8">
        <f>INDEX(Hedef!$C$17:$C$21,Kanit!G86+1)</f>
        <v>0.3</v>
      </c>
      <c r="H86" s="8">
        <f>INDEX(Hedef!$C$17:$C$21,Kanit!H86+1)</f>
        <v>0.3</v>
      </c>
      <c r="I86" s="8">
        <f>INDEX(Hedef!$C$17:$C$21,Kanit!I86+1)</f>
        <v>0.3</v>
      </c>
      <c r="J86" s="8">
        <f>INDEX(Hedef!$C$17:$C$21,Kanit!J86+1)</f>
        <v>0.3</v>
      </c>
      <c r="K86" s="8">
        <f>INDEX(Hedef!$C$17:$C$21,Kanit!K86+1)</f>
        <v>0.3</v>
      </c>
      <c r="L86" s="8">
        <f>INDEX(Hedef!$C$17:$C$21,Kanit!L86+1)</f>
        <v>0.3</v>
      </c>
      <c r="M86" s="8">
        <f>INDEX(Hedef!$C$17:$C$21,Kanit!M86+1)</f>
        <v>0.3</v>
      </c>
      <c r="N86" s="8">
        <f>INDEX(Hedef!$C$17:$C$21,Kanit!N86+1)</f>
        <v>0.3</v>
      </c>
      <c r="O86" s="8">
        <f>INDEX(Hedef!$C$17:$C$21,Kanit!O86+1)</f>
        <v>0.3</v>
      </c>
      <c r="P86" s="8">
        <f>INDEX(Hedef!$C$17:$C$21,Kanit!P86+1)</f>
        <v>0.3</v>
      </c>
      <c r="Q86" s="8">
        <f>INDEX(Hedef!$C$17:$C$21,Kanit!Q86+1)</f>
        <v>0.3</v>
      </c>
      <c r="R86" s="8">
        <f>INDEX(Hedef!$C$17:$C$21,Kanit!R86+1)</f>
        <v>0.3</v>
      </c>
      <c r="S86" s="8">
        <f>INDEX(Hedef!$C$17:$C$21,Kanit!S86+1)</f>
        <v>0.3</v>
      </c>
      <c r="T86" s="8">
        <f>INDEX(Hedef!$C$17:$C$21,Kanit!T86+1)</f>
        <v>0.5</v>
      </c>
      <c r="U86" s="8">
        <f>INDEX(Hedef!$C$17:$C$21,Kanit!U86+1)</f>
        <v>0.3</v>
      </c>
      <c r="V86" s="8">
        <f>INDEX(Hedef!$C$17:$C$21,Kanit!V86+1)</f>
        <v>0.3</v>
      </c>
      <c r="W86" s="8">
        <f>INDEX(Hedef!$C$17:$C$21,Kanit!W86+1)</f>
        <v>0.3</v>
      </c>
      <c r="X86" s="8">
        <f>INDEX(Hedef!$C$17:$C$21,Kanit!X86+1)</f>
        <v>0.3</v>
      </c>
      <c r="Y86" s="8">
        <f>INDEX(Hedef!$C$17:$C$21,Kanit!Y86+1)</f>
        <v>0.5</v>
      </c>
      <c r="Z86" s="8">
        <f>INDEX(Hedef!$C$17:$C$21,Kanit!Z86+1)</f>
        <v>0.3</v>
      </c>
      <c r="AA86" s="8">
        <f>INDEX(Hedef!$C$17:$C$21,Kanit!AA86+1)</f>
        <v>0.3</v>
      </c>
      <c r="AB86" s="8">
        <f>INDEX(Hedef!$C$17:$C$21,Kanit!AB86+1)</f>
        <v>0.3</v>
      </c>
      <c r="AD86" s="8">
        <f>INDEX(Hedef!$C$17:$C$21,Kanit!AD86+1)</f>
        <v>0.3</v>
      </c>
      <c r="AE86" s="8">
        <f>INDEX(Hedef!$C$17:$C$21,Kanit!AE86+1)</f>
        <v>0.3</v>
      </c>
      <c r="AF86" s="8">
        <f>INDEX(Hedef!$C$17:$C$21,Kanit!AF86+1)</f>
        <v>0.3</v>
      </c>
      <c r="AG86" s="8">
        <f>INDEX(Hedef!$C$17:$C$21,Kanit!AG86+1)</f>
        <v>0.3</v>
      </c>
    </row>
    <row r="87">
      <c r="A87" s="7" t="str">
        <f>Secenekler!A87</f>
        <v>ik-paneli-hizmeti-c</v>
      </c>
      <c r="B87" s="7" t="str">
        <f>Secenekler!C87</f>
        <v>Puantaj mutabakatı kurulum ve dönem hizmeti</v>
      </c>
      <c r="C87" s="8">
        <f>INDEX(Hedef!$C$17:$C$21,Kanit!C87+1)</f>
        <v>0.3</v>
      </c>
      <c r="D87" s="8">
        <f>INDEX(Hedef!$C$17:$C$21,Kanit!D87+1)</f>
        <v>0.3</v>
      </c>
      <c r="E87" s="8">
        <f>INDEX(Hedef!$C$17:$C$21,Kanit!E87+1)</f>
        <v>0.3</v>
      </c>
      <c r="F87" s="8">
        <f>INDEX(Hedef!$C$17:$C$21,Kanit!F87+1)</f>
        <v>0.5</v>
      </c>
      <c r="G87" s="8">
        <f>INDEX(Hedef!$C$17:$C$21,Kanit!G87+1)</f>
        <v>0.3</v>
      </c>
      <c r="H87" s="8">
        <f>INDEX(Hedef!$C$17:$C$21,Kanit!H87+1)</f>
        <v>0.3</v>
      </c>
      <c r="I87" s="8">
        <f>INDEX(Hedef!$C$17:$C$21,Kanit!I87+1)</f>
        <v>0.3</v>
      </c>
      <c r="J87" s="8">
        <f>INDEX(Hedef!$C$17:$C$21,Kanit!J87+1)</f>
        <v>0.3</v>
      </c>
      <c r="K87" s="8">
        <f>INDEX(Hedef!$C$17:$C$21,Kanit!K87+1)</f>
        <v>0.3</v>
      </c>
      <c r="L87" s="8">
        <f>INDEX(Hedef!$C$17:$C$21,Kanit!L87+1)</f>
        <v>0.3</v>
      </c>
      <c r="M87" s="8">
        <f>INDEX(Hedef!$C$17:$C$21,Kanit!M87+1)</f>
        <v>0.3</v>
      </c>
      <c r="N87" s="8">
        <f>INDEX(Hedef!$C$17:$C$21,Kanit!N87+1)</f>
        <v>0.3</v>
      </c>
      <c r="O87" s="8">
        <f>INDEX(Hedef!$C$17:$C$21,Kanit!O87+1)</f>
        <v>0.3</v>
      </c>
      <c r="P87" s="8">
        <f>INDEX(Hedef!$C$17:$C$21,Kanit!P87+1)</f>
        <v>0.5</v>
      </c>
      <c r="Q87" s="8">
        <f>INDEX(Hedef!$C$17:$C$21,Kanit!Q87+1)</f>
        <v>0.3</v>
      </c>
      <c r="R87" s="8">
        <f>INDEX(Hedef!$C$17:$C$21,Kanit!R87+1)</f>
        <v>0.3</v>
      </c>
      <c r="S87" s="8">
        <f>INDEX(Hedef!$C$17:$C$21,Kanit!S87+1)</f>
        <v>0.3</v>
      </c>
      <c r="T87" s="8">
        <f>INDEX(Hedef!$C$17:$C$21,Kanit!T87+1)</f>
        <v>0.3</v>
      </c>
      <c r="U87" s="8">
        <f>INDEX(Hedef!$C$17:$C$21,Kanit!U87+1)</f>
        <v>0.3</v>
      </c>
      <c r="V87" s="8">
        <f>INDEX(Hedef!$C$17:$C$21,Kanit!V87+1)</f>
        <v>0.3</v>
      </c>
      <c r="W87" s="8">
        <f>INDEX(Hedef!$C$17:$C$21,Kanit!W87+1)</f>
        <v>0.3</v>
      </c>
      <c r="X87" s="8">
        <f>INDEX(Hedef!$C$17:$C$21,Kanit!X87+1)</f>
        <v>0.3</v>
      </c>
      <c r="Y87" s="8">
        <f>INDEX(Hedef!$C$17:$C$21,Kanit!Y87+1)</f>
        <v>0.5</v>
      </c>
      <c r="Z87" s="8">
        <f>INDEX(Hedef!$C$17:$C$21,Kanit!Z87+1)</f>
        <v>0.3</v>
      </c>
      <c r="AA87" s="8">
        <f>INDEX(Hedef!$C$17:$C$21,Kanit!AA87+1)</f>
        <v>0.3</v>
      </c>
      <c r="AB87" s="8">
        <f>INDEX(Hedef!$C$17:$C$21,Kanit!AB87+1)</f>
        <v>0.3</v>
      </c>
      <c r="AD87" s="8">
        <f>INDEX(Hedef!$C$17:$C$21,Kanit!AD87+1)</f>
        <v>0.3</v>
      </c>
      <c r="AE87" s="8">
        <f>INDEX(Hedef!$C$17:$C$21,Kanit!AE87+1)</f>
        <v>0.3</v>
      </c>
      <c r="AF87" s="8">
        <f>INDEX(Hedef!$C$17:$C$21,Kanit!AF87+1)</f>
        <v>0.3</v>
      </c>
      <c r="AG87" s="8">
        <f>INDEX(Hedef!$C$17:$C$21,Kanit!AG87+1)</f>
        <v>0.3</v>
      </c>
    </row>
    <row r="88">
      <c r="A88" s="7" t="str">
        <f>Secenekler!A88</f>
        <v>ddd-renderer-a</v>
      </c>
      <c r="B88" s="7" t="str">
        <f>Secenekler!C88</f>
        <v>E-kitap eki: 3 mimari şablonlu paket (149 ₺)</v>
      </c>
      <c r="C88" s="8">
        <f>INDEX(Hedef!$C$17:$C$21,Kanit!C88+1)</f>
        <v>0.3</v>
      </c>
      <c r="D88" s="8">
        <f>INDEX(Hedef!$C$17:$C$21,Kanit!D88+1)</f>
        <v>0.3</v>
      </c>
      <c r="E88" s="8">
        <f>INDEX(Hedef!$C$17:$C$21,Kanit!E88+1)</f>
        <v>0.3</v>
      </c>
      <c r="F88" s="8">
        <f>INDEX(Hedef!$C$17:$C$21,Kanit!F88+1)</f>
        <v>0.5</v>
      </c>
      <c r="G88" s="8">
        <f>INDEX(Hedef!$C$17:$C$21,Kanit!G88+1)</f>
        <v>0.3</v>
      </c>
      <c r="H88" s="8">
        <f>INDEX(Hedef!$C$17:$C$21,Kanit!H88+1)</f>
        <v>0.3</v>
      </c>
      <c r="I88" s="8">
        <f>INDEX(Hedef!$C$17:$C$21,Kanit!I88+1)</f>
        <v>0.3</v>
      </c>
      <c r="J88" s="8">
        <f>INDEX(Hedef!$C$17:$C$21,Kanit!J88+1)</f>
        <v>0.3</v>
      </c>
      <c r="K88" s="8">
        <f>INDEX(Hedef!$C$17:$C$21,Kanit!K88+1)</f>
        <v>0.3</v>
      </c>
      <c r="L88" s="8">
        <f>INDEX(Hedef!$C$17:$C$21,Kanit!L88+1)</f>
        <v>0.3</v>
      </c>
      <c r="M88" s="8">
        <f>INDEX(Hedef!$C$17:$C$21,Kanit!M88+1)</f>
        <v>0.3</v>
      </c>
      <c r="N88" s="8">
        <f>INDEX(Hedef!$C$17:$C$21,Kanit!N88+1)</f>
        <v>0.3</v>
      </c>
      <c r="O88" s="8">
        <f>INDEX(Hedef!$C$17:$C$21,Kanit!O88+1)</f>
        <v>0.3</v>
      </c>
      <c r="P88" s="8">
        <f>INDEX(Hedef!$C$17:$C$21,Kanit!P88+1)</f>
        <v>0.3</v>
      </c>
      <c r="Q88" s="8">
        <f>INDEX(Hedef!$C$17:$C$21,Kanit!Q88+1)</f>
        <v>0.3</v>
      </c>
      <c r="R88" s="8">
        <f>INDEX(Hedef!$C$17:$C$21,Kanit!R88+1)</f>
        <v>0.3</v>
      </c>
      <c r="S88" s="8">
        <f>INDEX(Hedef!$C$17:$C$21,Kanit!S88+1)</f>
        <v>0.3</v>
      </c>
      <c r="T88" s="8">
        <f>INDEX(Hedef!$C$17:$C$21,Kanit!T88+1)</f>
        <v>0.3</v>
      </c>
      <c r="U88" s="8">
        <f>INDEX(Hedef!$C$17:$C$21,Kanit!U88+1)</f>
        <v>0.3</v>
      </c>
      <c r="V88" s="8">
        <f>INDEX(Hedef!$C$17:$C$21,Kanit!V88+1)</f>
        <v>0.3</v>
      </c>
      <c r="W88" s="8">
        <f>INDEX(Hedef!$C$17:$C$21,Kanit!W88+1)</f>
        <v>0.3</v>
      </c>
      <c r="X88" s="8">
        <f>INDEX(Hedef!$C$17:$C$21,Kanit!X88+1)</f>
        <v>0.5</v>
      </c>
      <c r="Y88" s="8">
        <f>INDEX(Hedef!$C$17:$C$21,Kanit!Y88+1)</f>
        <v>0.5</v>
      </c>
      <c r="Z88" s="8">
        <f>INDEX(Hedef!$C$17:$C$21,Kanit!Z88+1)</f>
        <v>0.3</v>
      </c>
      <c r="AA88" s="8">
        <f>INDEX(Hedef!$C$17:$C$21,Kanit!AA88+1)</f>
        <v>0.3</v>
      </c>
      <c r="AB88" s="8">
        <f>INDEX(Hedef!$C$17:$C$21,Kanit!AB88+1)</f>
        <v>0.3</v>
      </c>
      <c r="AD88" s="8">
        <f>INDEX(Hedef!$C$17:$C$21,Kanit!AD88+1)</f>
        <v>0.5</v>
      </c>
      <c r="AE88" s="8">
        <f>INDEX(Hedef!$C$17:$C$21,Kanit!AE88+1)</f>
        <v>0.5</v>
      </c>
      <c r="AF88" s="8">
        <f>INDEX(Hedef!$C$17:$C$21,Kanit!AF88+1)</f>
        <v>0.3</v>
      </c>
      <c r="AG88" s="8">
        <f>INDEX(Hedef!$C$17:$C$21,Kanit!AG88+1)</f>
        <v>0.3</v>
      </c>
    </row>
    <row r="89">
      <c r="A89" s="7" t="str">
        <f>Secenekler!A89</f>
        <v>ddd-renderer-b</v>
      </c>
      <c r="B89" s="7" t="str">
        <f>Secenekler!C89</f>
        <v>Uluslararası şablon paketleri (29-79 $) açık çekirdekle</v>
      </c>
      <c r="C89" s="8">
        <f>INDEX(Hedef!$C$17:$C$21,Kanit!C89+1)</f>
        <v>0.3</v>
      </c>
      <c r="D89" s="8">
        <f>INDEX(Hedef!$C$17:$C$21,Kanit!D89+1)</f>
        <v>0.3</v>
      </c>
      <c r="E89" s="8">
        <f>INDEX(Hedef!$C$17:$C$21,Kanit!E89+1)</f>
        <v>0.5</v>
      </c>
      <c r="F89" s="8">
        <f>INDEX(Hedef!$C$17:$C$21,Kanit!F89+1)</f>
        <v>0.5</v>
      </c>
      <c r="G89" s="8">
        <f>INDEX(Hedef!$C$17:$C$21,Kanit!G89+1)</f>
        <v>0.3</v>
      </c>
      <c r="H89" s="8">
        <f>INDEX(Hedef!$C$17:$C$21,Kanit!H89+1)</f>
        <v>0.5</v>
      </c>
      <c r="I89" s="8">
        <f>INDEX(Hedef!$C$17:$C$21,Kanit!I89+1)</f>
        <v>0.3</v>
      </c>
      <c r="J89" s="8">
        <f>INDEX(Hedef!$C$17:$C$21,Kanit!J89+1)</f>
        <v>0.3</v>
      </c>
      <c r="K89" s="8">
        <f>INDEX(Hedef!$C$17:$C$21,Kanit!K89+1)</f>
        <v>0.3</v>
      </c>
      <c r="L89" s="8">
        <f>INDEX(Hedef!$C$17:$C$21,Kanit!L89+1)</f>
        <v>0.3</v>
      </c>
      <c r="M89" s="8">
        <f>INDEX(Hedef!$C$17:$C$21,Kanit!M89+1)</f>
        <v>0.3</v>
      </c>
      <c r="N89" s="8">
        <f>INDEX(Hedef!$C$17:$C$21,Kanit!N89+1)</f>
        <v>0.3</v>
      </c>
      <c r="O89" s="8">
        <f>INDEX(Hedef!$C$17:$C$21,Kanit!O89+1)</f>
        <v>0.3</v>
      </c>
      <c r="P89" s="8">
        <f>INDEX(Hedef!$C$17:$C$21,Kanit!P89+1)</f>
        <v>0.3</v>
      </c>
      <c r="Q89" s="8">
        <f>INDEX(Hedef!$C$17:$C$21,Kanit!Q89+1)</f>
        <v>0.3</v>
      </c>
      <c r="R89" s="8">
        <f>INDEX(Hedef!$C$17:$C$21,Kanit!R89+1)</f>
        <v>0.3</v>
      </c>
      <c r="S89" s="8">
        <f>INDEX(Hedef!$C$17:$C$21,Kanit!S89+1)</f>
        <v>0.3</v>
      </c>
      <c r="T89" s="8">
        <f>INDEX(Hedef!$C$17:$C$21,Kanit!T89+1)</f>
        <v>0.3</v>
      </c>
      <c r="U89" s="8">
        <f>INDEX(Hedef!$C$17:$C$21,Kanit!U89+1)</f>
        <v>0.3</v>
      </c>
      <c r="V89" s="8">
        <f>INDEX(Hedef!$C$17:$C$21,Kanit!V89+1)</f>
        <v>0.3</v>
      </c>
      <c r="W89" s="8">
        <f>INDEX(Hedef!$C$17:$C$21,Kanit!W89+1)</f>
        <v>0.3</v>
      </c>
      <c r="X89" s="8">
        <f>INDEX(Hedef!$C$17:$C$21,Kanit!X89+1)</f>
        <v>0.5</v>
      </c>
      <c r="Y89" s="8">
        <f>INDEX(Hedef!$C$17:$C$21,Kanit!Y89+1)</f>
        <v>0.5</v>
      </c>
      <c r="Z89" s="8">
        <f>INDEX(Hedef!$C$17:$C$21,Kanit!Z89+1)</f>
        <v>0.3</v>
      </c>
      <c r="AA89" s="8">
        <f>INDEX(Hedef!$C$17:$C$21,Kanit!AA89+1)</f>
        <v>0.3</v>
      </c>
      <c r="AB89" s="8">
        <f>INDEX(Hedef!$C$17:$C$21,Kanit!AB89+1)</f>
        <v>0.3</v>
      </c>
      <c r="AD89" s="8">
        <f>INDEX(Hedef!$C$17:$C$21,Kanit!AD89+1)</f>
        <v>0.5</v>
      </c>
      <c r="AE89" s="8">
        <f>INDEX(Hedef!$C$17:$C$21,Kanit!AE89+1)</f>
        <v>0.5</v>
      </c>
      <c r="AF89" s="8">
        <f>INDEX(Hedef!$C$17:$C$21,Kanit!AF89+1)</f>
        <v>0.3</v>
      </c>
      <c r="AG89" s="8">
        <f>INDEX(Hedef!$C$17:$C$21,Kanit!AG89+1)</f>
        <v>0.3</v>
      </c>
    </row>
    <row r="90">
      <c r="A90" s="7" t="str">
        <f>Secenekler!A90</f>
        <v>ddd-renderer-c</v>
      </c>
      <c r="B90" s="7" t="str">
        <f>Secenekler!C90</f>
        <v>3 günlük sabit kapsamlı mimari değerlendirme hizmeti</v>
      </c>
      <c r="C90" s="8">
        <f>INDEX(Hedef!$C$17:$C$21,Kanit!C90+1)</f>
        <v>0.3</v>
      </c>
      <c r="D90" s="8">
        <f>INDEX(Hedef!$C$17:$C$21,Kanit!D90+1)</f>
        <v>0.3</v>
      </c>
      <c r="E90" s="8">
        <f>INDEX(Hedef!$C$17:$C$21,Kanit!E90+1)</f>
        <v>0.3</v>
      </c>
      <c r="F90" s="8">
        <f>INDEX(Hedef!$C$17:$C$21,Kanit!F90+1)</f>
        <v>0.3</v>
      </c>
      <c r="G90" s="8">
        <f>INDEX(Hedef!$C$17:$C$21,Kanit!G90+1)</f>
        <v>0.3</v>
      </c>
      <c r="H90" s="8">
        <f>INDEX(Hedef!$C$17:$C$21,Kanit!H90+1)</f>
        <v>0.3</v>
      </c>
      <c r="I90" s="8">
        <f>INDEX(Hedef!$C$17:$C$21,Kanit!I90+1)</f>
        <v>0.5</v>
      </c>
      <c r="J90" s="8">
        <f>INDEX(Hedef!$C$17:$C$21,Kanit!J90+1)</f>
        <v>0.3</v>
      </c>
      <c r="K90" s="8">
        <f>INDEX(Hedef!$C$17:$C$21,Kanit!K90+1)</f>
        <v>0.3</v>
      </c>
      <c r="L90" s="8">
        <f>INDEX(Hedef!$C$17:$C$21,Kanit!L90+1)</f>
        <v>0.3</v>
      </c>
      <c r="M90" s="8">
        <f>INDEX(Hedef!$C$17:$C$21,Kanit!M90+1)</f>
        <v>0.3</v>
      </c>
      <c r="N90" s="8">
        <f>INDEX(Hedef!$C$17:$C$21,Kanit!N90+1)</f>
        <v>0.3</v>
      </c>
      <c r="O90" s="8">
        <f>INDEX(Hedef!$C$17:$C$21,Kanit!O90+1)</f>
        <v>0.3</v>
      </c>
      <c r="P90" s="8">
        <f>INDEX(Hedef!$C$17:$C$21,Kanit!P90+1)</f>
        <v>0.3</v>
      </c>
      <c r="Q90" s="8">
        <f>INDEX(Hedef!$C$17:$C$21,Kanit!Q90+1)</f>
        <v>0.3</v>
      </c>
      <c r="R90" s="8">
        <f>INDEX(Hedef!$C$17:$C$21,Kanit!R90+1)</f>
        <v>0.3</v>
      </c>
      <c r="S90" s="8">
        <f>INDEX(Hedef!$C$17:$C$21,Kanit!S90+1)</f>
        <v>0.3</v>
      </c>
      <c r="T90" s="8">
        <f>INDEX(Hedef!$C$17:$C$21,Kanit!T90+1)</f>
        <v>0.3</v>
      </c>
      <c r="U90" s="8">
        <f>INDEX(Hedef!$C$17:$C$21,Kanit!U90+1)</f>
        <v>0.3</v>
      </c>
      <c r="V90" s="8">
        <f>INDEX(Hedef!$C$17:$C$21,Kanit!V90+1)</f>
        <v>0.3</v>
      </c>
      <c r="W90" s="8">
        <f>INDEX(Hedef!$C$17:$C$21,Kanit!W90+1)</f>
        <v>0.3</v>
      </c>
      <c r="X90" s="8">
        <f>INDEX(Hedef!$C$17:$C$21,Kanit!X90+1)</f>
        <v>0.5</v>
      </c>
      <c r="Y90" s="8">
        <f>INDEX(Hedef!$C$17:$C$21,Kanit!Y90+1)</f>
        <v>0.5</v>
      </c>
      <c r="Z90" s="8">
        <f>INDEX(Hedef!$C$17:$C$21,Kanit!Z90+1)</f>
        <v>0.3</v>
      </c>
      <c r="AA90" s="8">
        <f>INDEX(Hedef!$C$17:$C$21,Kanit!AA90+1)</f>
        <v>0.3</v>
      </c>
      <c r="AB90" s="8">
        <f>INDEX(Hedef!$C$17:$C$21,Kanit!AB90+1)</f>
        <v>0.3</v>
      </c>
      <c r="AD90" s="8">
        <f>INDEX(Hedef!$C$17:$C$21,Kanit!AD90+1)</f>
        <v>0.5</v>
      </c>
      <c r="AE90" s="8">
        <f>INDEX(Hedef!$C$17:$C$21,Kanit!AE90+1)</f>
        <v>0.3</v>
      </c>
      <c r="AF90" s="8">
        <f>INDEX(Hedef!$C$17:$C$21,Kanit!AF90+1)</f>
        <v>0.3</v>
      </c>
      <c r="AG90" s="8">
        <f>INDEX(Hedef!$C$17:$C$21,Kanit!AG90+1)</f>
        <v>0.3</v>
      </c>
    </row>
    <row r="91">
      <c r="A91" s="7" t="str">
        <f>Secenekler!A91</f>
        <v>devpanel-a</v>
      </c>
      <c r="B91" s="7" t="str">
        <f>Secenekler!C91</f>
        <v>3 günlük onay, denetim ve yetki entegrasyon paketi</v>
      </c>
      <c r="C91" s="8">
        <f>INDEX(Hedef!$C$17:$C$21,Kanit!C91+1)</f>
        <v>0.3</v>
      </c>
      <c r="D91" s="8">
        <f>INDEX(Hedef!$C$17:$C$21,Kanit!D91+1)</f>
        <v>0.3</v>
      </c>
      <c r="E91" s="8">
        <f>INDEX(Hedef!$C$17:$C$21,Kanit!E91+1)</f>
        <v>0.5</v>
      </c>
      <c r="F91" s="8">
        <f>INDEX(Hedef!$C$17:$C$21,Kanit!F91+1)</f>
        <v>0.5</v>
      </c>
      <c r="G91" s="8">
        <f>INDEX(Hedef!$C$17:$C$21,Kanit!G91+1)</f>
        <v>0.3</v>
      </c>
      <c r="H91" s="8">
        <f>INDEX(Hedef!$C$17:$C$21,Kanit!H91+1)</f>
        <v>0.3</v>
      </c>
      <c r="I91" s="8">
        <f>INDEX(Hedef!$C$17:$C$21,Kanit!I91+1)</f>
        <v>0.3</v>
      </c>
      <c r="J91" s="8">
        <f>INDEX(Hedef!$C$17:$C$21,Kanit!J91+1)</f>
        <v>0.3</v>
      </c>
      <c r="K91" s="8">
        <f>INDEX(Hedef!$C$17:$C$21,Kanit!K91+1)</f>
        <v>0.3</v>
      </c>
      <c r="L91" s="8">
        <f>INDEX(Hedef!$C$17:$C$21,Kanit!L91+1)</f>
        <v>0.3</v>
      </c>
      <c r="M91" s="8">
        <f>INDEX(Hedef!$C$17:$C$21,Kanit!M91+1)</f>
        <v>0.3</v>
      </c>
      <c r="N91" s="8">
        <f>INDEX(Hedef!$C$17:$C$21,Kanit!N91+1)</f>
        <v>0.3</v>
      </c>
      <c r="O91" s="8">
        <f>INDEX(Hedef!$C$17:$C$21,Kanit!O91+1)</f>
        <v>0.3</v>
      </c>
      <c r="P91" s="8">
        <f>INDEX(Hedef!$C$17:$C$21,Kanit!P91+1)</f>
        <v>0.3</v>
      </c>
      <c r="Q91" s="8">
        <f>INDEX(Hedef!$C$17:$C$21,Kanit!Q91+1)</f>
        <v>0.3</v>
      </c>
      <c r="R91" s="8">
        <f>INDEX(Hedef!$C$17:$C$21,Kanit!R91+1)</f>
        <v>0.3</v>
      </c>
      <c r="S91" s="8">
        <f>INDEX(Hedef!$C$17:$C$21,Kanit!S91+1)</f>
        <v>0.3</v>
      </c>
      <c r="T91" s="8">
        <f>INDEX(Hedef!$C$17:$C$21,Kanit!T91+1)</f>
        <v>0.3</v>
      </c>
      <c r="U91" s="8">
        <f>INDEX(Hedef!$C$17:$C$21,Kanit!U91+1)</f>
        <v>0.3</v>
      </c>
      <c r="V91" s="8">
        <f>INDEX(Hedef!$C$17:$C$21,Kanit!V91+1)</f>
        <v>0.3</v>
      </c>
      <c r="W91" s="8">
        <f>INDEX(Hedef!$C$17:$C$21,Kanit!W91+1)</f>
        <v>0.3</v>
      </c>
      <c r="X91" s="8">
        <f>INDEX(Hedef!$C$17:$C$21,Kanit!X91+1)</f>
        <v>0.5</v>
      </c>
      <c r="Y91" s="8">
        <f>INDEX(Hedef!$C$17:$C$21,Kanit!Y91+1)</f>
        <v>0.5</v>
      </c>
      <c r="Z91" s="8">
        <f>INDEX(Hedef!$C$17:$C$21,Kanit!Z91+1)</f>
        <v>0.3</v>
      </c>
      <c r="AA91" s="8">
        <f>INDEX(Hedef!$C$17:$C$21,Kanit!AA91+1)</f>
        <v>0.3</v>
      </c>
      <c r="AB91" s="8">
        <f>INDEX(Hedef!$C$17:$C$21,Kanit!AB91+1)</f>
        <v>0.3</v>
      </c>
      <c r="AD91" s="8">
        <f>INDEX(Hedef!$C$17:$C$21,Kanit!AD91+1)</f>
        <v>0.3</v>
      </c>
      <c r="AE91" s="8">
        <f>INDEX(Hedef!$C$17:$C$21,Kanit!AE91+1)</f>
        <v>0.5</v>
      </c>
      <c r="AF91" s="8">
        <f>INDEX(Hedef!$C$17:$C$21,Kanit!AF91+1)</f>
        <v>0.3</v>
      </c>
      <c r="AG91" s="8">
        <f>INDEX(Hedef!$C$17:$C$21,Kanit!AG91+1)</f>
        <v>0.3</v>
      </c>
    </row>
    <row r="92">
      <c r="A92" s="7" t="str">
        <f>Secenekler!A92</f>
        <v>devpanel-b</v>
      </c>
      <c r="B92" s="7" t="str">
        <f>Secenekler!C92</f>
        <v>20 alanlı form şemasından JSON ve React dışa aktarım işi</v>
      </c>
      <c r="C92" s="8">
        <f>INDEX(Hedef!$C$17:$C$21,Kanit!C92+1)</f>
        <v>0.3</v>
      </c>
      <c r="D92" s="8">
        <f>INDEX(Hedef!$C$17:$C$21,Kanit!D92+1)</f>
        <v>0.3</v>
      </c>
      <c r="E92" s="8">
        <f>INDEX(Hedef!$C$17:$C$21,Kanit!E92+1)</f>
        <v>0.5</v>
      </c>
      <c r="F92" s="8">
        <f>INDEX(Hedef!$C$17:$C$21,Kanit!F92+1)</f>
        <v>0.5</v>
      </c>
      <c r="G92" s="8">
        <f>INDEX(Hedef!$C$17:$C$21,Kanit!G92+1)</f>
        <v>0.3</v>
      </c>
      <c r="H92" s="8">
        <f>INDEX(Hedef!$C$17:$C$21,Kanit!H92+1)</f>
        <v>0.3</v>
      </c>
      <c r="I92" s="8">
        <f>INDEX(Hedef!$C$17:$C$21,Kanit!I92+1)</f>
        <v>0.3</v>
      </c>
      <c r="J92" s="8">
        <f>INDEX(Hedef!$C$17:$C$21,Kanit!J92+1)</f>
        <v>0.3</v>
      </c>
      <c r="K92" s="8">
        <f>INDEX(Hedef!$C$17:$C$21,Kanit!K92+1)</f>
        <v>0.3</v>
      </c>
      <c r="L92" s="8">
        <f>INDEX(Hedef!$C$17:$C$21,Kanit!L92+1)</f>
        <v>0.3</v>
      </c>
      <c r="M92" s="8">
        <f>INDEX(Hedef!$C$17:$C$21,Kanit!M92+1)</f>
        <v>0.3</v>
      </c>
      <c r="N92" s="8">
        <f>INDEX(Hedef!$C$17:$C$21,Kanit!N92+1)</f>
        <v>0.3</v>
      </c>
      <c r="O92" s="8">
        <f>INDEX(Hedef!$C$17:$C$21,Kanit!O92+1)</f>
        <v>0.3</v>
      </c>
      <c r="P92" s="8">
        <f>INDEX(Hedef!$C$17:$C$21,Kanit!P92+1)</f>
        <v>0.3</v>
      </c>
      <c r="Q92" s="8">
        <f>INDEX(Hedef!$C$17:$C$21,Kanit!Q92+1)</f>
        <v>0.3</v>
      </c>
      <c r="R92" s="8">
        <f>INDEX(Hedef!$C$17:$C$21,Kanit!R92+1)</f>
        <v>0.3</v>
      </c>
      <c r="S92" s="8">
        <f>INDEX(Hedef!$C$17:$C$21,Kanit!S92+1)</f>
        <v>0.3</v>
      </c>
      <c r="T92" s="8">
        <f>INDEX(Hedef!$C$17:$C$21,Kanit!T92+1)</f>
        <v>0.3</v>
      </c>
      <c r="U92" s="8">
        <f>INDEX(Hedef!$C$17:$C$21,Kanit!U92+1)</f>
        <v>0.3</v>
      </c>
      <c r="V92" s="8">
        <f>INDEX(Hedef!$C$17:$C$21,Kanit!V92+1)</f>
        <v>0.3</v>
      </c>
      <c r="W92" s="8">
        <f>INDEX(Hedef!$C$17:$C$21,Kanit!W92+1)</f>
        <v>0.3</v>
      </c>
      <c r="X92" s="8">
        <f>INDEX(Hedef!$C$17:$C$21,Kanit!X92+1)</f>
        <v>0.3</v>
      </c>
      <c r="Y92" s="8">
        <f>INDEX(Hedef!$C$17:$C$21,Kanit!Y92+1)</f>
        <v>0.5</v>
      </c>
      <c r="Z92" s="8">
        <f>INDEX(Hedef!$C$17:$C$21,Kanit!Z92+1)</f>
        <v>0.3</v>
      </c>
      <c r="AA92" s="8">
        <f>INDEX(Hedef!$C$17:$C$21,Kanit!AA92+1)</f>
        <v>0.3</v>
      </c>
      <c r="AB92" s="8">
        <f>INDEX(Hedef!$C$17:$C$21,Kanit!AB92+1)</f>
        <v>0.3</v>
      </c>
      <c r="AD92" s="8">
        <f>INDEX(Hedef!$C$17:$C$21,Kanit!AD92+1)</f>
        <v>0.3</v>
      </c>
      <c r="AE92" s="8">
        <f>INDEX(Hedef!$C$17:$C$21,Kanit!AE92+1)</f>
        <v>0.5</v>
      </c>
      <c r="AF92" s="8">
        <f>INDEX(Hedef!$C$17:$C$21,Kanit!AF92+1)</f>
        <v>0.3</v>
      </c>
      <c r="AG92" s="8">
        <f>INDEX(Hedef!$C$17:$C$21,Kanit!AG92+1)</f>
        <v>0.3</v>
      </c>
    </row>
    <row r="93">
      <c r="A93" s="7" t="str">
        <f>Secenekler!A93</f>
        <v>devpanel-c</v>
      </c>
      <c r="B93" s="7" t="str">
        <f>Secenekler!C93</f>
        <v>Yönetim paneli şablonu, 49 $ lisans</v>
      </c>
      <c r="C93" s="8">
        <f>INDEX(Hedef!$C$17:$C$21,Kanit!C93+1)</f>
        <v>0.3</v>
      </c>
      <c r="D93" s="8">
        <f>INDEX(Hedef!$C$17:$C$21,Kanit!D93+1)</f>
        <v>0.3</v>
      </c>
      <c r="E93" s="8">
        <f>INDEX(Hedef!$C$17:$C$21,Kanit!E93+1)</f>
        <v>0.5</v>
      </c>
      <c r="F93" s="8">
        <f>INDEX(Hedef!$C$17:$C$21,Kanit!F93+1)</f>
        <v>0.5</v>
      </c>
      <c r="G93" s="8">
        <f>INDEX(Hedef!$C$17:$C$21,Kanit!G93+1)</f>
        <v>0.3</v>
      </c>
      <c r="H93" s="8">
        <f>INDEX(Hedef!$C$17:$C$21,Kanit!H93+1)</f>
        <v>0.5</v>
      </c>
      <c r="I93" s="8">
        <f>INDEX(Hedef!$C$17:$C$21,Kanit!I93+1)</f>
        <v>0.3</v>
      </c>
      <c r="J93" s="8">
        <f>INDEX(Hedef!$C$17:$C$21,Kanit!J93+1)</f>
        <v>0.5</v>
      </c>
      <c r="K93" s="8">
        <f>INDEX(Hedef!$C$17:$C$21,Kanit!K93+1)</f>
        <v>0.5</v>
      </c>
      <c r="L93" s="8">
        <f>INDEX(Hedef!$C$17:$C$21,Kanit!L93+1)</f>
        <v>0.3</v>
      </c>
      <c r="M93" s="8">
        <f>INDEX(Hedef!$C$17:$C$21,Kanit!M93+1)</f>
        <v>0.3</v>
      </c>
      <c r="N93" s="8">
        <f>INDEX(Hedef!$C$17:$C$21,Kanit!N93+1)</f>
        <v>0.3</v>
      </c>
      <c r="O93" s="8">
        <f>INDEX(Hedef!$C$17:$C$21,Kanit!O93+1)</f>
        <v>0.3</v>
      </c>
      <c r="P93" s="8">
        <f>INDEX(Hedef!$C$17:$C$21,Kanit!P93+1)</f>
        <v>0.3</v>
      </c>
      <c r="Q93" s="8">
        <f>INDEX(Hedef!$C$17:$C$21,Kanit!Q93+1)</f>
        <v>0.3</v>
      </c>
      <c r="R93" s="8">
        <f>INDEX(Hedef!$C$17:$C$21,Kanit!R93+1)</f>
        <v>0.3</v>
      </c>
      <c r="S93" s="8">
        <f>INDEX(Hedef!$C$17:$C$21,Kanit!S93+1)</f>
        <v>0.3</v>
      </c>
      <c r="T93" s="8">
        <f>INDEX(Hedef!$C$17:$C$21,Kanit!T93+1)</f>
        <v>0.3</v>
      </c>
      <c r="U93" s="8">
        <f>INDEX(Hedef!$C$17:$C$21,Kanit!U93+1)</f>
        <v>0.5</v>
      </c>
      <c r="V93" s="8">
        <f>INDEX(Hedef!$C$17:$C$21,Kanit!V93+1)</f>
        <v>0.5</v>
      </c>
      <c r="W93" s="8">
        <f>INDEX(Hedef!$C$17:$C$21,Kanit!W93+1)</f>
        <v>0.3</v>
      </c>
      <c r="X93" s="8">
        <f>INDEX(Hedef!$C$17:$C$21,Kanit!X93+1)</f>
        <v>0.3</v>
      </c>
      <c r="Y93" s="8">
        <f>INDEX(Hedef!$C$17:$C$21,Kanit!Y93+1)</f>
        <v>0.5</v>
      </c>
      <c r="Z93" s="8">
        <f>INDEX(Hedef!$C$17:$C$21,Kanit!Z93+1)</f>
        <v>0.3</v>
      </c>
      <c r="AA93" s="8">
        <f>INDEX(Hedef!$C$17:$C$21,Kanit!AA93+1)</f>
        <v>0.3</v>
      </c>
      <c r="AB93" s="8">
        <f>INDEX(Hedef!$C$17:$C$21,Kanit!AB93+1)</f>
        <v>0.3</v>
      </c>
      <c r="AD93" s="8">
        <f>INDEX(Hedef!$C$17:$C$21,Kanit!AD93+1)</f>
        <v>0.5</v>
      </c>
      <c r="AE93" s="8">
        <f>INDEX(Hedef!$C$17:$C$21,Kanit!AE93+1)</f>
        <v>0.5</v>
      </c>
      <c r="AF93" s="8">
        <f>INDEX(Hedef!$C$17:$C$21,Kanit!AF93+1)</f>
        <v>0.3</v>
      </c>
      <c r="AG93" s="8">
        <f>INDEX(Hedef!$C$17:$C$21,Kanit!AG93+1)</f>
        <v>0.3</v>
      </c>
    </row>
    <row r="94">
      <c r="A94" s="7" t="str">
        <f>Secenekler!A94</f>
        <v>e-menum-a</v>
      </c>
      <c r="B94" s="7" t="str">
        <f>Secenekler!C94</f>
        <v>Tek kiracılı white-label kurulum paketi</v>
      </c>
      <c r="C94" s="8">
        <f>INDEX(Hedef!$C$17:$C$21,Kanit!C94+1)</f>
        <v>0.5</v>
      </c>
      <c r="D94" s="8">
        <f>INDEX(Hedef!$C$17:$C$21,Kanit!D94+1)</f>
        <v>0.3</v>
      </c>
      <c r="E94" s="8">
        <f>INDEX(Hedef!$C$17:$C$21,Kanit!E94+1)</f>
        <v>0.5</v>
      </c>
      <c r="F94" s="8">
        <f>INDEX(Hedef!$C$17:$C$21,Kanit!F94+1)</f>
        <v>0.5</v>
      </c>
      <c r="G94" s="8">
        <f>INDEX(Hedef!$C$17:$C$21,Kanit!G94+1)</f>
        <v>0.3</v>
      </c>
      <c r="H94" s="8">
        <f>INDEX(Hedef!$C$17:$C$21,Kanit!H94+1)</f>
        <v>0.5</v>
      </c>
      <c r="I94" s="8">
        <f>INDEX(Hedef!$C$17:$C$21,Kanit!I94+1)</f>
        <v>0.3</v>
      </c>
      <c r="J94" s="8">
        <f>INDEX(Hedef!$C$17:$C$21,Kanit!J94+1)</f>
        <v>0.5</v>
      </c>
      <c r="K94" s="8">
        <f>INDEX(Hedef!$C$17:$C$21,Kanit!K94+1)</f>
        <v>0.3</v>
      </c>
      <c r="L94" s="8">
        <f>INDEX(Hedef!$C$17:$C$21,Kanit!L94+1)</f>
        <v>0.3</v>
      </c>
      <c r="M94" s="8">
        <f>INDEX(Hedef!$C$17:$C$21,Kanit!M94+1)</f>
        <v>0.5</v>
      </c>
      <c r="N94" s="8">
        <f>INDEX(Hedef!$C$17:$C$21,Kanit!N94+1)</f>
        <v>0.3</v>
      </c>
      <c r="O94" s="8">
        <f>INDEX(Hedef!$C$17:$C$21,Kanit!O94+1)</f>
        <v>0.3</v>
      </c>
      <c r="P94" s="8">
        <f>INDEX(Hedef!$C$17:$C$21,Kanit!P94+1)</f>
        <v>0.3</v>
      </c>
      <c r="Q94" s="8">
        <f>INDEX(Hedef!$C$17:$C$21,Kanit!Q94+1)</f>
        <v>0.3</v>
      </c>
      <c r="R94" s="8">
        <f>INDEX(Hedef!$C$17:$C$21,Kanit!R94+1)</f>
        <v>0.3</v>
      </c>
      <c r="S94" s="8">
        <f>INDEX(Hedef!$C$17:$C$21,Kanit!S94+1)</f>
        <v>0.3</v>
      </c>
      <c r="T94" s="8">
        <f>INDEX(Hedef!$C$17:$C$21,Kanit!T94+1)</f>
        <v>0.3</v>
      </c>
      <c r="U94" s="8">
        <f>INDEX(Hedef!$C$17:$C$21,Kanit!U94+1)</f>
        <v>0.3</v>
      </c>
      <c r="V94" s="8">
        <f>INDEX(Hedef!$C$17:$C$21,Kanit!V94+1)</f>
        <v>0.3</v>
      </c>
      <c r="W94" s="8">
        <f>INDEX(Hedef!$C$17:$C$21,Kanit!W94+1)</f>
        <v>0.3</v>
      </c>
      <c r="X94" s="8">
        <f>INDEX(Hedef!$C$17:$C$21,Kanit!X94+1)</f>
        <v>0.5</v>
      </c>
      <c r="Y94" s="8">
        <f>INDEX(Hedef!$C$17:$C$21,Kanit!Y94+1)</f>
        <v>0.5</v>
      </c>
      <c r="Z94" s="8">
        <f>INDEX(Hedef!$C$17:$C$21,Kanit!Z94+1)</f>
        <v>0.3</v>
      </c>
      <c r="AA94" s="8">
        <f>INDEX(Hedef!$C$17:$C$21,Kanit!AA94+1)</f>
        <v>0.3</v>
      </c>
      <c r="AB94" s="8">
        <f>INDEX(Hedef!$C$17:$C$21,Kanit!AB94+1)</f>
        <v>0.3</v>
      </c>
      <c r="AD94" s="8">
        <f>INDEX(Hedef!$C$17:$C$21,Kanit!AD94+1)</f>
        <v>0.5</v>
      </c>
      <c r="AE94" s="8">
        <f>INDEX(Hedef!$C$17:$C$21,Kanit!AE94+1)</f>
        <v>0.5</v>
      </c>
      <c r="AF94" s="8">
        <f>INDEX(Hedef!$C$17:$C$21,Kanit!AF94+1)</f>
        <v>0.3</v>
      </c>
      <c r="AG94" s="8">
        <f>INDEX(Hedef!$C$17:$C$21,Kanit!AG94+1)</f>
        <v>0.3</v>
      </c>
    </row>
    <row r="95">
      <c r="A95" s="7" t="str">
        <f>Secenekler!A95</f>
        <v>e-menum-b</v>
      </c>
      <c r="B95" s="7" t="str">
        <f>Secenekler!C95</f>
        <v>Çok şubeli markaya yönetilen menü güncelleme hizmeti</v>
      </c>
      <c r="C95" s="8">
        <f>INDEX(Hedef!$C$17:$C$21,Kanit!C95+1)</f>
        <v>0.3</v>
      </c>
      <c r="D95" s="8">
        <f>INDEX(Hedef!$C$17:$C$21,Kanit!D95+1)</f>
        <v>0.3</v>
      </c>
      <c r="E95" s="8">
        <f>INDEX(Hedef!$C$17:$C$21,Kanit!E95+1)</f>
        <v>0.3</v>
      </c>
      <c r="F95" s="8">
        <f>INDEX(Hedef!$C$17:$C$21,Kanit!F95+1)</f>
        <v>0.5</v>
      </c>
      <c r="G95" s="8">
        <f>INDEX(Hedef!$C$17:$C$21,Kanit!G95+1)</f>
        <v>0.3</v>
      </c>
      <c r="H95" s="8">
        <f>INDEX(Hedef!$C$17:$C$21,Kanit!H95+1)</f>
        <v>0.3</v>
      </c>
      <c r="I95" s="8">
        <f>INDEX(Hedef!$C$17:$C$21,Kanit!I95+1)</f>
        <v>0.5</v>
      </c>
      <c r="J95" s="8">
        <f>INDEX(Hedef!$C$17:$C$21,Kanit!J95+1)</f>
        <v>0.3</v>
      </c>
      <c r="K95" s="8">
        <f>INDEX(Hedef!$C$17:$C$21,Kanit!K95+1)</f>
        <v>0.3</v>
      </c>
      <c r="L95" s="8">
        <f>INDEX(Hedef!$C$17:$C$21,Kanit!L95+1)</f>
        <v>0.3</v>
      </c>
      <c r="M95" s="8">
        <f>INDEX(Hedef!$C$17:$C$21,Kanit!M95+1)</f>
        <v>0.3</v>
      </c>
      <c r="N95" s="8">
        <f>INDEX(Hedef!$C$17:$C$21,Kanit!N95+1)</f>
        <v>0.3</v>
      </c>
      <c r="O95" s="8">
        <f>INDEX(Hedef!$C$17:$C$21,Kanit!O95+1)</f>
        <v>0.3</v>
      </c>
      <c r="P95" s="8">
        <f>INDEX(Hedef!$C$17:$C$21,Kanit!P95+1)</f>
        <v>0.3</v>
      </c>
      <c r="Q95" s="8">
        <f>INDEX(Hedef!$C$17:$C$21,Kanit!Q95+1)</f>
        <v>0.3</v>
      </c>
      <c r="R95" s="8">
        <f>INDEX(Hedef!$C$17:$C$21,Kanit!R95+1)</f>
        <v>0.3</v>
      </c>
      <c r="S95" s="8">
        <f>INDEX(Hedef!$C$17:$C$21,Kanit!S95+1)</f>
        <v>0.3</v>
      </c>
      <c r="T95" s="8">
        <f>INDEX(Hedef!$C$17:$C$21,Kanit!T95+1)</f>
        <v>0.3</v>
      </c>
      <c r="U95" s="8">
        <f>INDEX(Hedef!$C$17:$C$21,Kanit!U95+1)</f>
        <v>0.3</v>
      </c>
      <c r="V95" s="8">
        <f>INDEX(Hedef!$C$17:$C$21,Kanit!V95+1)</f>
        <v>0.3</v>
      </c>
      <c r="W95" s="8">
        <f>INDEX(Hedef!$C$17:$C$21,Kanit!W95+1)</f>
        <v>0.3</v>
      </c>
      <c r="X95" s="8">
        <f>INDEX(Hedef!$C$17:$C$21,Kanit!X95+1)</f>
        <v>0.5</v>
      </c>
      <c r="Y95" s="8">
        <f>INDEX(Hedef!$C$17:$C$21,Kanit!Y95+1)</f>
        <v>0.5</v>
      </c>
      <c r="Z95" s="8">
        <f>INDEX(Hedef!$C$17:$C$21,Kanit!Z95+1)</f>
        <v>0.3</v>
      </c>
      <c r="AA95" s="8">
        <f>INDEX(Hedef!$C$17:$C$21,Kanit!AA95+1)</f>
        <v>0.3</v>
      </c>
      <c r="AB95" s="8">
        <f>INDEX(Hedef!$C$17:$C$21,Kanit!AB95+1)</f>
        <v>0.3</v>
      </c>
      <c r="AD95" s="8">
        <f>INDEX(Hedef!$C$17:$C$21,Kanit!AD95+1)</f>
        <v>0.3</v>
      </c>
      <c r="AE95" s="8">
        <f>INDEX(Hedef!$C$17:$C$21,Kanit!AE95+1)</f>
        <v>0.3</v>
      </c>
      <c r="AF95" s="8">
        <f>INDEX(Hedef!$C$17:$C$21,Kanit!AF95+1)</f>
        <v>0.3</v>
      </c>
      <c r="AG95" s="8">
        <f>INDEX(Hedef!$C$17:$C$21,Kanit!AG95+1)</f>
        <v>0.3</v>
      </c>
    </row>
    <row r="96">
      <c r="A96" s="7" t="str">
        <f>Secenekler!A96</f>
        <v>e-menum-c</v>
      </c>
      <c r="B96" s="7" t="str">
        <f>Secenekler!C96</f>
        <v>Kaynak kod ve belge paketi (depo ve topluluk)</v>
      </c>
      <c r="C96" s="8">
        <f>INDEX(Hedef!$C$17:$C$21,Kanit!C96+1)</f>
        <v>0.5</v>
      </c>
      <c r="D96" s="8">
        <f>INDEX(Hedef!$C$17:$C$21,Kanit!D96+1)</f>
        <v>0.3</v>
      </c>
      <c r="E96" s="8">
        <f>INDEX(Hedef!$C$17:$C$21,Kanit!E96+1)</f>
        <v>0.5</v>
      </c>
      <c r="F96" s="8">
        <f>INDEX(Hedef!$C$17:$C$21,Kanit!F96+1)</f>
        <v>0.5</v>
      </c>
      <c r="G96" s="8">
        <f>INDEX(Hedef!$C$17:$C$21,Kanit!G96+1)</f>
        <v>0.3</v>
      </c>
      <c r="H96" s="8">
        <f>INDEX(Hedef!$C$17:$C$21,Kanit!H96+1)</f>
        <v>0.5</v>
      </c>
      <c r="I96" s="8">
        <f>INDEX(Hedef!$C$17:$C$21,Kanit!I96+1)</f>
        <v>0.3</v>
      </c>
      <c r="J96" s="8">
        <f>INDEX(Hedef!$C$17:$C$21,Kanit!J96+1)</f>
        <v>0.5</v>
      </c>
      <c r="K96" s="8">
        <f>INDEX(Hedef!$C$17:$C$21,Kanit!K96+1)</f>
        <v>0.5</v>
      </c>
      <c r="L96" s="8">
        <f>INDEX(Hedef!$C$17:$C$21,Kanit!L96+1)</f>
        <v>0.3</v>
      </c>
      <c r="M96" s="8">
        <f>INDEX(Hedef!$C$17:$C$21,Kanit!M96+1)</f>
        <v>0.5</v>
      </c>
      <c r="N96" s="8">
        <f>INDEX(Hedef!$C$17:$C$21,Kanit!N96+1)</f>
        <v>0.3</v>
      </c>
      <c r="O96" s="8">
        <f>INDEX(Hedef!$C$17:$C$21,Kanit!O96+1)</f>
        <v>0.3</v>
      </c>
      <c r="P96" s="8">
        <f>INDEX(Hedef!$C$17:$C$21,Kanit!P96+1)</f>
        <v>0.3</v>
      </c>
      <c r="Q96" s="8">
        <f>INDEX(Hedef!$C$17:$C$21,Kanit!Q96+1)</f>
        <v>0.3</v>
      </c>
      <c r="R96" s="8">
        <f>INDEX(Hedef!$C$17:$C$21,Kanit!R96+1)</f>
        <v>0.3</v>
      </c>
      <c r="S96" s="8">
        <f>INDEX(Hedef!$C$17:$C$21,Kanit!S96+1)</f>
        <v>0.3</v>
      </c>
      <c r="T96" s="8">
        <f>INDEX(Hedef!$C$17:$C$21,Kanit!T96+1)</f>
        <v>0.3</v>
      </c>
      <c r="U96" s="8">
        <f>INDEX(Hedef!$C$17:$C$21,Kanit!U96+1)</f>
        <v>0.3</v>
      </c>
      <c r="V96" s="8">
        <f>INDEX(Hedef!$C$17:$C$21,Kanit!V96+1)</f>
        <v>0.5</v>
      </c>
      <c r="W96" s="8">
        <f>INDEX(Hedef!$C$17:$C$21,Kanit!W96+1)</f>
        <v>0.3</v>
      </c>
      <c r="X96" s="8">
        <f>INDEX(Hedef!$C$17:$C$21,Kanit!X96+1)</f>
        <v>0.5</v>
      </c>
      <c r="Y96" s="8">
        <f>INDEX(Hedef!$C$17:$C$21,Kanit!Y96+1)</f>
        <v>0.5</v>
      </c>
      <c r="Z96" s="8">
        <f>INDEX(Hedef!$C$17:$C$21,Kanit!Z96+1)</f>
        <v>0.3</v>
      </c>
      <c r="AA96" s="8">
        <f>INDEX(Hedef!$C$17:$C$21,Kanit!AA96+1)</f>
        <v>0.3</v>
      </c>
      <c r="AB96" s="8">
        <f>INDEX(Hedef!$C$17:$C$21,Kanit!AB96+1)</f>
        <v>0.3</v>
      </c>
      <c r="AD96" s="8">
        <f>INDEX(Hedef!$C$17:$C$21,Kanit!AD96+1)</f>
        <v>0.5</v>
      </c>
      <c r="AE96" s="8">
        <f>INDEX(Hedef!$C$17:$C$21,Kanit!AE96+1)</f>
        <v>0.5</v>
      </c>
      <c r="AF96" s="8">
        <f>INDEX(Hedef!$C$17:$C$21,Kanit!AF96+1)</f>
        <v>0.3</v>
      </c>
      <c r="AG96" s="8">
        <f>INDEX(Hedef!$C$17:$C$21,Kanit!AG96+1)</f>
        <v>0.3</v>
      </c>
    </row>
    <row r="97">
      <c r="A97" s="7" t="str">
        <f>Secenekler!A97</f>
        <v>eklenti-firsat-panosu-a</v>
      </c>
      <c r="B97" s="7" t="str">
        <f>Secenekler!C97</f>
        <v>Bülten Pro: aylık eklenti fırsat bülteni</v>
      </c>
      <c r="C97" s="8">
        <f>INDEX(Hedef!$C$17:$C$21,Kanit!C97+1)</f>
        <v>0.3</v>
      </c>
      <c r="D97" s="8">
        <f>INDEX(Hedef!$C$17:$C$21,Kanit!D97+1)</f>
        <v>0.3</v>
      </c>
      <c r="E97" s="8">
        <f>INDEX(Hedef!$C$17:$C$21,Kanit!E97+1)</f>
        <v>0.5</v>
      </c>
      <c r="F97" s="8">
        <f>INDEX(Hedef!$C$17:$C$21,Kanit!F97+1)</f>
        <v>0.5</v>
      </c>
      <c r="G97" s="8">
        <f>INDEX(Hedef!$C$17:$C$21,Kanit!G97+1)</f>
        <v>0.3</v>
      </c>
      <c r="H97" s="8">
        <f>INDEX(Hedef!$C$17:$C$21,Kanit!H97+1)</f>
        <v>0.5</v>
      </c>
      <c r="I97" s="8">
        <f>INDEX(Hedef!$C$17:$C$21,Kanit!I97+1)</f>
        <v>0.5</v>
      </c>
      <c r="J97" s="8">
        <f>INDEX(Hedef!$C$17:$C$21,Kanit!J97+1)</f>
        <v>0.3</v>
      </c>
      <c r="K97" s="8">
        <f>INDEX(Hedef!$C$17:$C$21,Kanit!K97+1)</f>
        <v>0.3</v>
      </c>
      <c r="L97" s="8">
        <f>INDEX(Hedef!$C$17:$C$21,Kanit!L97+1)</f>
        <v>0.3</v>
      </c>
      <c r="M97" s="8">
        <f>INDEX(Hedef!$C$17:$C$21,Kanit!M97+1)</f>
        <v>0.5</v>
      </c>
      <c r="N97" s="8">
        <f>INDEX(Hedef!$C$17:$C$21,Kanit!N97+1)</f>
        <v>0.3</v>
      </c>
      <c r="O97" s="8">
        <f>INDEX(Hedef!$C$17:$C$21,Kanit!O97+1)</f>
        <v>0.3</v>
      </c>
      <c r="P97" s="8">
        <f>INDEX(Hedef!$C$17:$C$21,Kanit!P97+1)</f>
        <v>0.3</v>
      </c>
      <c r="Q97" s="8">
        <f>INDEX(Hedef!$C$17:$C$21,Kanit!Q97+1)</f>
        <v>0.3</v>
      </c>
      <c r="R97" s="8">
        <f>INDEX(Hedef!$C$17:$C$21,Kanit!R97+1)</f>
        <v>0.3</v>
      </c>
      <c r="S97" s="8">
        <f>INDEX(Hedef!$C$17:$C$21,Kanit!S97+1)</f>
        <v>0.3</v>
      </c>
      <c r="T97" s="8">
        <f>INDEX(Hedef!$C$17:$C$21,Kanit!T97+1)</f>
        <v>0.3</v>
      </c>
      <c r="U97" s="8">
        <f>INDEX(Hedef!$C$17:$C$21,Kanit!U97+1)</f>
        <v>0.3</v>
      </c>
      <c r="V97" s="8">
        <f>INDEX(Hedef!$C$17:$C$21,Kanit!V97+1)</f>
        <v>0.5</v>
      </c>
      <c r="W97" s="8">
        <f>INDEX(Hedef!$C$17:$C$21,Kanit!W97+1)</f>
        <v>0.3</v>
      </c>
      <c r="X97" s="8">
        <f>INDEX(Hedef!$C$17:$C$21,Kanit!X97+1)</f>
        <v>0.3</v>
      </c>
      <c r="Y97" s="8">
        <f>INDEX(Hedef!$C$17:$C$21,Kanit!Y97+1)</f>
        <v>0.5</v>
      </c>
      <c r="Z97" s="8">
        <f>INDEX(Hedef!$C$17:$C$21,Kanit!Z97+1)</f>
        <v>0.3</v>
      </c>
      <c r="AA97" s="8">
        <f>INDEX(Hedef!$C$17:$C$21,Kanit!AA97+1)</f>
        <v>0.3</v>
      </c>
      <c r="AB97" s="8">
        <f>INDEX(Hedef!$C$17:$C$21,Kanit!AB97+1)</f>
        <v>0.3</v>
      </c>
      <c r="AD97" s="8">
        <f>INDEX(Hedef!$C$17:$C$21,Kanit!AD97+1)</f>
        <v>0.5</v>
      </c>
      <c r="AE97" s="8">
        <f>INDEX(Hedef!$C$17:$C$21,Kanit!AE97+1)</f>
        <v>0.5</v>
      </c>
      <c r="AF97" s="8">
        <f>INDEX(Hedef!$C$17:$C$21,Kanit!AF97+1)</f>
        <v>0.3</v>
      </c>
      <c r="AG97" s="8">
        <f>INDEX(Hedef!$C$17:$C$21,Kanit!AG97+1)</f>
        <v>0.3</v>
      </c>
    </row>
    <row r="98">
      <c r="A98" s="7" t="str">
        <f>Secenekler!A98</f>
        <v>eklenti-firsat-panosu-b</v>
      </c>
      <c r="B98" s="7" t="str">
        <f>Secenekler!C98</f>
        <v>Keşif Paketi: tek seferlik eklenti fırsat seti</v>
      </c>
      <c r="C98" s="8">
        <f>INDEX(Hedef!$C$17:$C$21,Kanit!C98+1)</f>
        <v>0.3</v>
      </c>
      <c r="D98" s="8">
        <f>INDEX(Hedef!$C$17:$C$21,Kanit!D98+1)</f>
        <v>0.3</v>
      </c>
      <c r="E98" s="8">
        <f>INDEX(Hedef!$C$17:$C$21,Kanit!E98+1)</f>
        <v>0.5</v>
      </c>
      <c r="F98" s="8">
        <f>INDEX(Hedef!$C$17:$C$21,Kanit!F98+1)</f>
        <v>0.5</v>
      </c>
      <c r="G98" s="8">
        <f>INDEX(Hedef!$C$17:$C$21,Kanit!G98+1)</f>
        <v>0.3</v>
      </c>
      <c r="H98" s="8">
        <f>INDEX(Hedef!$C$17:$C$21,Kanit!H98+1)</f>
        <v>0.3</v>
      </c>
      <c r="I98" s="8">
        <f>INDEX(Hedef!$C$17:$C$21,Kanit!I98+1)</f>
        <v>0.5</v>
      </c>
      <c r="J98" s="8">
        <f>INDEX(Hedef!$C$17:$C$21,Kanit!J98+1)</f>
        <v>0.3</v>
      </c>
      <c r="K98" s="8">
        <f>INDEX(Hedef!$C$17:$C$21,Kanit!K98+1)</f>
        <v>0.3</v>
      </c>
      <c r="L98" s="8">
        <f>INDEX(Hedef!$C$17:$C$21,Kanit!L98+1)</f>
        <v>0.3</v>
      </c>
      <c r="M98" s="8">
        <f>INDEX(Hedef!$C$17:$C$21,Kanit!M98+1)</f>
        <v>0.5</v>
      </c>
      <c r="N98" s="8">
        <f>INDEX(Hedef!$C$17:$C$21,Kanit!N98+1)</f>
        <v>0.3</v>
      </c>
      <c r="O98" s="8">
        <f>INDEX(Hedef!$C$17:$C$21,Kanit!O98+1)</f>
        <v>0.3</v>
      </c>
      <c r="P98" s="8">
        <f>INDEX(Hedef!$C$17:$C$21,Kanit!P98+1)</f>
        <v>0.3</v>
      </c>
      <c r="Q98" s="8">
        <f>INDEX(Hedef!$C$17:$C$21,Kanit!Q98+1)</f>
        <v>0.3</v>
      </c>
      <c r="R98" s="8">
        <f>INDEX(Hedef!$C$17:$C$21,Kanit!R98+1)</f>
        <v>0.3</v>
      </c>
      <c r="S98" s="8">
        <f>INDEX(Hedef!$C$17:$C$21,Kanit!S98+1)</f>
        <v>0.3</v>
      </c>
      <c r="T98" s="8">
        <f>INDEX(Hedef!$C$17:$C$21,Kanit!T98+1)</f>
        <v>0.3</v>
      </c>
      <c r="U98" s="8">
        <f>INDEX(Hedef!$C$17:$C$21,Kanit!U98+1)</f>
        <v>0.3</v>
      </c>
      <c r="V98" s="8">
        <f>INDEX(Hedef!$C$17:$C$21,Kanit!V98+1)</f>
        <v>0.3</v>
      </c>
      <c r="W98" s="8">
        <f>INDEX(Hedef!$C$17:$C$21,Kanit!W98+1)</f>
        <v>0.3</v>
      </c>
      <c r="X98" s="8">
        <f>INDEX(Hedef!$C$17:$C$21,Kanit!X98+1)</f>
        <v>0.3</v>
      </c>
      <c r="Y98" s="8">
        <f>INDEX(Hedef!$C$17:$C$21,Kanit!Y98+1)</f>
        <v>0.5</v>
      </c>
      <c r="Z98" s="8">
        <f>INDEX(Hedef!$C$17:$C$21,Kanit!Z98+1)</f>
        <v>0.3</v>
      </c>
      <c r="AA98" s="8">
        <f>INDEX(Hedef!$C$17:$C$21,Kanit!AA98+1)</f>
        <v>0.3</v>
      </c>
      <c r="AB98" s="8">
        <f>INDEX(Hedef!$C$17:$C$21,Kanit!AB98+1)</f>
        <v>0.3</v>
      </c>
      <c r="AD98" s="8">
        <f>INDEX(Hedef!$C$17:$C$21,Kanit!AD98+1)</f>
        <v>0.5</v>
      </c>
      <c r="AE98" s="8">
        <f>INDEX(Hedef!$C$17:$C$21,Kanit!AE98+1)</f>
        <v>0.5</v>
      </c>
      <c r="AF98" s="8">
        <f>INDEX(Hedef!$C$17:$C$21,Kanit!AF98+1)</f>
        <v>0.3</v>
      </c>
      <c r="AG98" s="8">
        <f>INDEX(Hedef!$C$17:$C$21,Kanit!AG98+1)</f>
        <v>0.3</v>
      </c>
    </row>
    <row r="99">
      <c r="A99" s="7" t="str">
        <f>Secenekler!A99</f>
        <v>eklenti-firsat-panosu-c</v>
      </c>
      <c r="B99" s="7" t="str">
        <f>Secenekler!C99</f>
        <v>Ajans lisansı: ürün hattı fırsat paketi</v>
      </c>
      <c r="C99" s="8">
        <f>INDEX(Hedef!$C$17:$C$21,Kanit!C99+1)</f>
        <v>0.3</v>
      </c>
      <c r="D99" s="8">
        <f>INDEX(Hedef!$C$17:$C$21,Kanit!D99+1)</f>
        <v>0.3</v>
      </c>
      <c r="E99" s="8">
        <f>INDEX(Hedef!$C$17:$C$21,Kanit!E99+1)</f>
        <v>0.3</v>
      </c>
      <c r="F99" s="8">
        <f>INDEX(Hedef!$C$17:$C$21,Kanit!F99+1)</f>
        <v>0.3</v>
      </c>
      <c r="G99" s="8">
        <f>INDEX(Hedef!$C$17:$C$21,Kanit!G99+1)</f>
        <v>0.3</v>
      </c>
      <c r="H99" s="8">
        <f>INDEX(Hedef!$C$17:$C$21,Kanit!H99+1)</f>
        <v>0.3</v>
      </c>
      <c r="I99" s="8">
        <f>INDEX(Hedef!$C$17:$C$21,Kanit!I99+1)</f>
        <v>0.3</v>
      </c>
      <c r="J99" s="8">
        <f>INDEX(Hedef!$C$17:$C$21,Kanit!J99+1)</f>
        <v>0.3</v>
      </c>
      <c r="K99" s="8">
        <f>INDEX(Hedef!$C$17:$C$21,Kanit!K99+1)</f>
        <v>0.3</v>
      </c>
      <c r="L99" s="8">
        <f>INDEX(Hedef!$C$17:$C$21,Kanit!L99+1)</f>
        <v>0.3</v>
      </c>
      <c r="M99" s="8">
        <f>INDEX(Hedef!$C$17:$C$21,Kanit!M99+1)</f>
        <v>0.3</v>
      </c>
      <c r="N99" s="8">
        <f>INDEX(Hedef!$C$17:$C$21,Kanit!N99+1)</f>
        <v>0.3</v>
      </c>
      <c r="O99" s="8">
        <f>INDEX(Hedef!$C$17:$C$21,Kanit!O99+1)</f>
        <v>0.3</v>
      </c>
      <c r="P99" s="8">
        <f>INDEX(Hedef!$C$17:$C$21,Kanit!P99+1)</f>
        <v>0.3</v>
      </c>
      <c r="Q99" s="8">
        <f>INDEX(Hedef!$C$17:$C$21,Kanit!Q99+1)</f>
        <v>0.3</v>
      </c>
      <c r="R99" s="8">
        <f>INDEX(Hedef!$C$17:$C$21,Kanit!R99+1)</f>
        <v>0.3</v>
      </c>
      <c r="S99" s="8">
        <f>INDEX(Hedef!$C$17:$C$21,Kanit!S99+1)</f>
        <v>0.3</v>
      </c>
      <c r="T99" s="8">
        <f>INDEX(Hedef!$C$17:$C$21,Kanit!T99+1)</f>
        <v>0.3</v>
      </c>
      <c r="U99" s="8">
        <f>INDEX(Hedef!$C$17:$C$21,Kanit!U99+1)</f>
        <v>0.3</v>
      </c>
      <c r="V99" s="8">
        <f>INDEX(Hedef!$C$17:$C$21,Kanit!V99+1)</f>
        <v>0.3</v>
      </c>
      <c r="W99" s="8">
        <f>INDEX(Hedef!$C$17:$C$21,Kanit!W99+1)</f>
        <v>0.3</v>
      </c>
      <c r="X99" s="8">
        <f>INDEX(Hedef!$C$17:$C$21,Kanit!X99+1)</f>
        <v>0.3</v>
      </c>
      <c r="Y99" s="8">
        <f>INDEX(Hedef!$C$17:$C$21,Kanit!Y99+1)</f>
        <v>0.3</v>
      </c>
      <c r="Z99" s="8">
        <f>INDEX(Hedef!$C$17:$C$21,Kanit!Z99+1)</f>
        <v>0.3</v>
      </c>
      <c r="AA99" s="8">
        <f>INDEX(Hedef!$C$17:$C$21,Kanit!AA99+1)</f>
        <v>0.3</v>
      </c>
      <c r="AB99" s="8">
        <f>INDEX(Hedef!$C$17:$C$21,Kanit!AB99+1)</f>
        <v>0.3</v>
      </c>
      <c r="AD99" s="8">
        <f>INDEX(Hedef!$C$17:$C$21,Kanit!AD99+1)</f>
        <v>0.5</v>
      </c>
      <c r="AE99" s="8">
        <f>INDEX(Hedef!$C$17:$C$21,Kanit!AE99+1)</f>
        <v>0.3</v>
      </c>
      <c r="AF99" s="8">
        <f>INDEX(Hedef!$C$17:$C$21,Kanit!AF99+1)</f>
        <v>0.3</v>
      </c>
      <c r="AG99" s="8">
        <f>INDEX(Hedef!$C$17:$C$21,Kanit!AG99+1)</f>
        <v>0.3</v>
      </c>
    </row>
    <row r="100">
      <c r="A100" s="7" t="str">
        <f>Secenekler!A100</f>
        <v>cok-dilli-arayuz-a</v>
      </c>
      <c r="B100" s="7" t="str">
        <f>Secenekler!C100</f>
        <v>Çok dilli site denetimi: sabit fiyatlı paket</v>
      </c>
      <c r="C100" s="8">
        <f>INDEX(Hedef!$C$17:$C$21,Kanit!C100+1)</f>
        <v>0.3</v>
      </c>
      <c r="D100" s="8">
        <f>INDEX(Hedef!$C$17:$C$21,Kanit!D100+1)</f>
        <v>0.5</v>
      </c>
      <c r="E100" s="8">
        <f>INDEX(Hedef!$C$17:$C$21,Kanit!E100+1)</f>
        <v>0.3</v>
      </c>
      <c r="F100" s="8">
        <f>INDEX(Hedef!$C$17:$C$21,Kanit!F100+1)</f>
        <v>0.5</v>
      </c>
      <c r="G100" s="8">
        <f>INDEX(Hedef!$C$17:$C$21,Kanit!G100+1)</f>
        <v>0.3</v>
      </c>
      <c r="H100" s="8">
        <f>INDEX(Hedef!$C$17:$C$21,Kanit!H100+1)</f>
        <v>0.3</v>
      </c>
      <c r="I100" s="8">
        <f>INDEX(Hedef!$C$17:$C$21,Kanit!I100+1)</f>
        <v>0.5</v>
      </c>
      <c r="J100" s="8">
        <f>INDEX(Hedef!$C$17:$C$21,Kanit!J100+1)</f>
        <v>0.3</v>
      </c>
      <c r="K100" s="8">
        <f>INDEX(Hedef!$C$17:$C$21,Kanit!K100+1)</f>
        <v>0.3</v>
      </c>
      <c r="L100" s="8">
        <f>INDEX(Hedef!$C$17:$C$21,Kanit!L100+1)</f>
        <v>0.3</v>
      </c>
      <c r="M100" s="8">
        <f>INDEX(Hedef!$C$17:$C$21,Kanit!M100+1)</f>
        <v>0.3</v>
      </c>
      <c r="N100" s="8">
        <f>INDEX(Hedef!$C$17:$C$21,Kanit!N100+1)</f>
        <v>0.3</v>
      </c>
      <c r="O100" s="8">
        <f>INDEX(Hedef!$C$17:$C$21,Kanit!O100+1)</f>
        <v>0.3</v>
      </c>
      <c r="P100" s="8">
        <f>INDEX(Hedef!$C$17:$C$21,Kanit!P100+1)</f>
        <v>0.3</v>
      </c>
      <c r="Q100" s="8">
        <f>INDEX(Hedef!$C$17:$C$21,Kanit!Q100+1)</f>
        <v>0.3</v>
      </c>
      <c r="R100" s="8">
        <f>INDEX(Hedef!$C$17:$C$21,Kanit!R100+1)</f>
        <v>0.3</v>
      </c>
      <c r="S100" s="8">
        <f>INDEX(Hedef!$C$17:$C$21,Kanit!S100+1)</f>
        <v>0.3</v>
      </c>
      <c r="T100" s="8">
        <f>INDEX(Hedef!$C$17:$C$21,Kanit!T100+1)</f>
        <v>0.3</v>
      </c>
      <c r="U100" s="8">
        <f>INDEX(Hedef!$C$17:$C$21,Kanit!U100+1)</f>
        <v>0.3</v>
      </c>
      <c r="V100" s="8">
        <f>INDEX(Hedef!$C$17:$C$21,Kanit!V100+1)</f>
        <v>0.3</v>
      </c>
      <c r="W100" s="8">
        <f>INDEX(Hedef!$C$17:$C$21,Kanit!W100+1)</f>
        <v>0.3</v>
      </c>
      <c r="X100" s="8">
        <f>INDEX(Hedef!$C$17:$C$21,Kanit!X100+1)</f>
        <v>0.7</v>
      </c>
      <c r="Y100" s="8">
        <f>INDEX(Hedef!$C$17:$C$21,Kanit!Y100+1)</f>
        <v>0.5</v>
      </c>
      <c r="Z100" s="8">
        <f>INDEX(Hedef!$C$17:$C$21,Kanit!Z100+1)</f>
        <v>0.5</v>
      </c>
      <c r="AA100" s="8">
        <f>INDEX(Hedef!$C$17:$C$21,Kanit!AA100+1)</f>
        <v>0.3</v>
      </c>
      <c r="AB100" s="8">
        <f>INDEX(Hedef!$C$17:$C$21,Kanit!AB100+1)</f>
        <v>0.3</v>
      </c>
      <c r="AD100" s="8">
        <f>INDEX(Hedef!$C$17:$C$21,Kanit!AD100+1)</f>
        <v>0.5</v>
      </c>
      <c r="AE100" s="8">
        <f>INDEX(Hedef!$C$17:$C$21,Kanit!AE100+1)</f>
        <v>0.3</v>
      </c>
      <c r="AF100" s="8">
        <f>INDEX(Hedef!$C$17:$C$21,Kanit!AF100+1)</f>
        <v>0.3</v>
      </c>
      <c r="AG100" s="8">
        <f>INDEX(Hedef!$C$17:$C$21,Kanit!AG100+1)</f>
        <v>0.5</v>
      </c>
    </row>
    <row r="101">
      <c r="A101" s="7" t="str">
        <f>Secenekler!A101</f>
        <v>cok-dilli-arayuz-b</v>
      </c>
      <c r="B101" s="7" t="str">
        <f>Secenekler!C101</f>
        <v>Kontrol listesi PDF ve ücretsiz Atlas modülü</v>
      </c>
      <c r="C101" s="8">
        <f>INDEX(Hedef!$C$17:$C$21,Kanit!C101+1)</f>
        <v>0.3</v>
      </c>
      <c r="D101" s="8">
        <f>INDEX(Hedef!$C$17:$C$21,Kanit!D101+1)</f>
        <v>0.3</v>
      </c>
      <c r="E101" s="8">
        <f>INDEX(Hedef!$C$17:$C$21,Kanit!E101+1)</f>
        <v>0.3</v>
      </c>
      <c r="F101" s="8">
        <f>INDEX(Hedef!$C$17:$C$21,Kanit!F101+1)</f>
        <v>0.5</v>
      </c>
      <c r="G101" s="8">
        <f>INDEX(Hedef!$C$17:$C$21,Kanit!G101+1)</f>
        <v>0.3</v>
      </c>
      <c r="H101" s="8">
        <f>INDEX(Hedef!$C$17:$C$21,Kanit!H101+1)</f>
        <v>0.3</v>
      </c>
      <c r="I101" s="8">
        <f>INDEX(Hedef!$C$17:$C$21,Kanit!I101+1)</f>
        <v>0.3</v>
      </c>
      <c r="J101" s="8">
        <f>INDEX(Hedef!$C$17:$C$21,Kanit!J101+1)</f>
        <v>0.3</v>
      </c>
      <c r="K101" s="8">
        <f>INDEX(Hedef!$C$17:$C$21,Kanit!K101+1)</f>
        <v>0.3</v>
      </c>
      <c r="L101" s="8">
        <f>INDEX(Hedef!$C$17:$C$21,Kanit!L101+1)</f>
        <v>0.3</v>
      </c>
      <c r="M101" s="8">
        <f>INDEX(Hedef!$C$17:$C$21,Kanit!M101+1)</f>
        <v>0.3</v>
      </c>
      <c r="N101" s="8">
        <f>INDEX(Hedef!$C$17:$C$21,Kanit!N101+1)</f>
        <v>0.3</v>
      </c>
      <c r="O101" s="8">
        <f>INDEX(Hedef!$C$17:$C$21,Kanit!O101+1)</f>
        <v>0.3</v>
      </c>
      <c r="P101" s="8">
        <f>INDEX(Hedef!$C$17:$C$21,Kanit!P101+1)</f>
        <v>0.3</v>
      </c>
      <c r="Q101" s="8">
        <f>INDEX(Hedef!$C$17:$C$21,Kanit!Q101+1)</f>
        <v>0.3</v>
      </c>
      <c r="R101" s="8">
        <f>INDEX(Hedef!$C$17:$C$21,Kanit!R101+1)</f>
        <v>0.3</v>
      </c>
      <c r="S101" s="8">
        <f>INDEX(Hedef!$C$17:$C$21,Kanit!S101+1)</f>
        <v>0.3</v>
      </c>
      <c r="T101" s="8">
        <f>INDEX(Hedef!$C$17:$C$21,Kanit!T101+1)</f>
        <v>0.3</v>
      </c>
      <c r="U101" s="8">
        <f>INDEX(Hedef!$C$17:$C$21,Kanit!U101+1)</f>
        <v>0.3</v>
      </c>
      <c r="V101" s="8">
        <f>INDEX(Hedef!$C$17:$C$21,Kanit!V101+1)</f>
        <v>0.3</v>
      </c>
      <c r="W101" s="8">
        <f>INDEX(Hedef!$C$17:$C$21,Kanit!W101+1)</f>
        <v>0.3</v>
      </c>
      <c r="X101" s="8">
        <f>INDEX(Hedef!$C$17:$C$21,Kanit!X101+1)</f>
        <v>0.5</v>
      </c>
      <c r="Y101" s="8">
        <f>INDEX(Hedef!$C$17:$C$21,Kanit!Y101+1)</f>
        <v>0.5</v>
      </c>
      <c r="Z101" s="8">
        <f>INDEX(Hedef!$C$17:$C$21,Kanit!Z101+1)</f>
        <v>0.3</v>
      </c>
      <c r="AA101" s="8">
        <f>INDEX(Hedef!$C$17:$C$21,Kanit!AA101+1)</f>
        <v>0.3</v>
      </c>
      <c r="AB101" s="8">
        <f>INDEX(Hedef!$C$17:$C$21,Kanit!AB101+1)</f>
        <v>0.3</v>
      </c>
      <c r="AD101" s="8">
        <f>INDEX(Hedef!$C$17:$C$21,Kanit!AD101+1)</f>
        <v>0.5</v>
      </c>
      <c r="AE101" s="8">
        <f>INDEX(Hedef!$C$17:$C$21,Kanit!AE101+1)</f>
        <v>0.5</v>
      </c>
      <c r="AF101" s="8">
        <f>INDEX(Hedef!$C$17:$C$21,Kanit!AF101+1)</f>
        <v>0.3</v>
      </c>
      <c r="AG101" s="8">
        <f>INDEX(Hedef!$C$17:$C$21,Kanit!AG101+1)</f>
        <v>0.3</v>
      </c>
    </row>
    <row r="102">
      <c r="A102" s="7" t="str">
        <f>Secenekler!A102</f>
        <v>cok-dilli-arayuz-c</v>
      </c>
      <c r="B102" s="7" t="str">
        <f>Secenekler!C102</f>
        <v>SaaS ekibine ücretli pilot: yerelleştirme QA kapısı</v>
      </c>
      <c r="C102" s="8">
        <f>INDEX(Hedef!$C$17:$C$21,Kanit!C102+1)</f>
        <v>0.3</v>
      </c>
      <c r="D102" s="8">
        <f>INDEX(Hedef!$C$17:$C$21,Kanit!D102+1)</f>
        <v>0.3</v>
      </c>
      <c r="E102" s="8">
        <f>INDEX(Hedef!$C$17:$C$21,Kanit!E102+1)</f>
        <v>0.3</v>
      </c>
      <c r="F102" s="8">
        <f>INDEX(Hedef!$C$17:$C$21,Kanit!F102+1)</f>
        <v>0.5</v>
      </c>
      <c r="G102" s="8">
        <f>INDEX(Hedef!$C$17:$C$21,Kanit!G102+1)</f>
        <v>0.3</v>
      </c>
      <c r="H102" s="8">
        <f>INDEX(Hedef!$C$17:$C$21,Kanit!H102+1)</f>
        <v>0.3</v>
      </c>
      <c r="I102" s="8">
        <f>INDEX(Hedef!$C$17:$C$21,Kanit!I102+1)</f>
        <v>0.3</v>
      </c>
      <c r="J102" s="8">
        <f>INDEX(Hedef!$C$17:$C$21,Kanit!J102+1)</f>
        <v>0.3</v>
      </c>
      <c r="K102" s="8">
        <f>INDEX(Hedef!$C$17:$C$21,Kanit!K102+1)</f>
        <v>0.3</v>
      </c>
      <c r="L102" s="8">
        <f>INDEX(Hedef!$C$17:$C$21,Kanit!L102+1)</f>
        <v>0.3</v>
      </c>
      <c r="M102" s="8">
        <f>INDEX(Hedef!$C$17:$C$21,Kanit!M102+1)</f>
        <v>0.3</v>
      </c>
      <c r="N102" s="8">
        <f>INDEX(Hedef!$C$17:$C$21,Kanit!N102+1)</f>
        <v>0.3</v>
      </c>
      <c r="O102" s="8">
        <f>INDEX(Hedef!$C$17:$C$21,Kanit!O102+1)</f>
        <v>0.3</v>
      </c>
      <c r="P102" s="8">
        <f>INDEX(Hedef!$C$17:$C$21,Kanit!P102+1)</f>
        <v>0.3</v>
      </c>
      <c r="Q102" s="8">
        <f>INDEX(Hedef!$C$17:$C$21,Kanit!Q102+1)</f>
        <v>0.3</v>
      </c>
      <c r="R102" s="8">
        <f>INDEX(Hedef!$C$17:$C$21,Kanit!R102+1)</f>
        <v>0.3</v>
      </c>
      <c r="S102" s="8">
        <f>INDEX(Hedef!$C$17:$C$21,Kanit!S102+1)</f>
        <v>0.3</v>
      </c>
      <c r="T102" s="8">
        <f>INDEX(Hedef!$C$17:$C$21,Kanit!T102+1)</f>
        <v>0.3</v>
      </c>
      <c r="U102" s="8">
        <f>INDEX(Hedef!$C$17:$C$21,Kanit!U102+1)</f>
        <v>0.3</v>
      </c>
      <c r="V102" s="8">
        <f>INDEX(Hedef!$C$17:$C$21,Kanit!V102+1)</f>
        <v>0.3</v>
      </c>
      <c r="W102" s="8">
        <f>INDEX(Hedef!$C$17:$C$21,Kanit!W102+1)</f>
        <v>0.3</v>
      </c>
      <c r="X102" s="8">
        <f>INDEX(Hedef!$C$17:$C$21,Kanit!X102+1)</f>
        <v>0.5</v>
      </c>
      <c r="Y102" s="8">
        <f>INDEX(Hedef!$C$17:$C$21,Kanit!Y102+1)</f>
        <v>0.5</v>
      </c>
      <c r="Z102" s="8">
        <f>INDEX(Hedef!$C$17:$C$21,Kanit!Z102+1)</f>
        <v>0.3</v>
      </c>
      <c r="AA102" s="8">
        <f>INDEX(Hedef!$C$17:$C$21,Kanit!AA102+1)</f>
        <v>0.3</v>
      </c>
      <c r="AB102" s="8">
        <f>INDEX(Hedef!$C$17:$C$21,Kanit!AB102+1)</f>
        <v>0.3</v>
      </c>
      <c r="AD102" s="8">
        <f>INDEX(Hedef!$C$17:$C$21,Kanit!AD102+1)</f>
        <v>0.5</v>
      </c>
      <c r="AE102" s="8">
        <f>INDEX(Hedef!$C$17:$C$21,Kanit!AE102+1)</f>
        <v>0.5</v>
      </c>
      <c r="AF102" s="8">
        <f>INDEX(Hedef!$C$17:$C$21,Kanit!AF102+1)</f>
        <v>0.3</v>
      </c>
      <c r="AG102" s="8">
        <f>INDEX(Hedef!$C$17:$C$21,Kanit!AG102+1)</f>
        <v>0.3</v>
      </c>
    </row>
    <row r="103">
      <c r="A103" s="7" t="str">
        <f>Secenekler!A103</f>
        <v>b2b-pazar-yeri-hizmeti-a</v>
      </c>
      <c r="B103" s="7" t="str">
        <f>Secenekler!C103</f>
        <v>Soğuk başlangıç teşhis paketi (2 hafta)</v>
      </c>
      <c r="C103" s="8">
        <f>INDEX(Hedef!$C$17:$C$21,Kanit!C103+1)</f>
        <v>0.3</v>
      </c>
      <c r="D103" s="8">
        <f>INDEX(Hedef!$C$17:$C$21,Kanit!D103+1)</f>
        <v>0.3</v>
      </c>
      <c r="E103" s="8">
        <f>INDEX(Hedef!$C$17:$C$21,Kanit!E103+1)</f>
        <v>0.3</v>
      </c>
      <c r="F103" s="8">
        <f>INDEX(Hedef!$C$17:$C$21,Kanit!F103+1)</f>
        <v>0.3</v>
      </c>
      <c r="G103" s="8">
        <f>INDEX(Hedef!$C$17:$C$21,Kanit!G103+1)</f>
        <v>0.3</v>
      </c>
      <c r="H103" s="8">
        <f>INDEX(Hedef!$C$17:$C$21,Kanit!H103+1)</f>
        <v>0.3</v>
      </c>
      <c r="I103" s="8">
        <f>INDEX(Hedef!$C$17:$C$21,Kanit!I103+1)</f>
        <v>0.3</v>
      </c>
      <c r="J103" s="8">
        <f>INDEX(Hedef!$C$17:$C$21,Kanit!J103+1)</f>
        <v>0.3</v>
      </c>
      <c r="K103" s="8">
        <f>INDEX(Hedef!$C$17:$C$21,Kanit!K103+1)</f>
        <v>0.3</v>
      </c>
      <c r="L103" s="8">
        <f>INDEX(Hedef!$C$17:$C$21,Kanit!L103+1)</f>
        <v>0.3</v>
      </c>
      <c r="M103" s="8">
        <f>INDEX(Hedef!$C$17:$C$21,Kanit!M103+1)</f>
        <v>0.5</v>
      </c>
      <c r="N103" s="8">
        <f>INDEX(Hedef!$C$17:$C$21,Kanit!N103+1)</f>
        <v>0.3</v>
      </c>
      <c r="O103" s="8">
        <f>INDEX(Hedef!$C$17:$C$21,Kanit!O103+1)</f>
        <v>0.3</v>
      </c>
      <c r="P103" s="8">
        <f>INDEX(Hedef!$C$17:$C$21,Kanit!P103+1)</f>
        <v>0.3</v>
      </c>
      <c r="Q103" s="8">
        <f>INDEX(Hedef!$C$17:$C$21,Kanit!Q103+1)</f>
        <v>0.3</v>
      </c>
      <c r="R103" s="8">
        <f>INDEX(Hedef!$C$17:$C$21,Kanit!R103+1)</f>
        <v>0.3</v>
      </c>
      <c r="S103" s="8">
        <f>INDEX(Hedef!$C$17:$C$21,Kanit!S103+1)</f>
        <v>0.3</v>
      </c>
      <c r="T103" s="8">
        <f>INDEX(Hedef!$C$17:$C$21,Kanit!T103+1)</f>
        <v>0.3</v>
      </c>
      <c r="U103" s="8">
        <f>INDEX(Hedef!$C$17:$C$21,Kanit!U103+1)</f>
        <v>0.3</v>
      </c>
      <c r="V103" s="8">
        <f>INDEX(Hedef!$C$17:$C$21,Kanit!V103+1)</f>
        <v>0.3</v>
      </c>
      <c r="W103" s="8">
        <f>INDEX(Hedef!$C$17:$C$21,Kanit!W103+1)</f>
        <v>0.3</v>
      </c>
      <c r="X103" s="8">
        <f>INDEX(Hedef!$C$17:$C$21,Kanit!X103+1)</f>
        <v>0.5</v>
      </c>
      <c r="Y103" s="8">
        <f>INDEX(Hedef!$C$17:$C$21,Kanit!Y103+1)</f>
        <v>0.3</v>
      </c>
      <c r="Z103" s="8">
        <f>INDEX(Hedef!$C$17:$C$21,Kanit!Z103+1)</f>
        <v>0.3</v>
      </c>
      <c r="AA103" s="8">
        <f>INDEX(Hedef!$C$17:$C$21,Kanit!AA103+1)</f>
        <v>0.3</v>
      </c>
      <c r="AB103" s="8">
        <f>INDEX(Hedef!$C$17:$C$21,Kanit!AB103+1)</f>
        <v>0.3</v>
      </c>
      <c r="AD103" s="8">
        <f>INDEX(Hedef!$C$17:$C$21,Kanit!AD103+1)</f>
        <v>0.5</v>
      </c>
      <c r="AE103" s="8">
        <f>INDEX(Hedef!$C$17:$C$21,Kanit!AE103+1)</f>
        <v>0.3</v>
      </c>
      <c r="AF103" s="8">
        <f>INDEX(Hedef!$C$17:$C$21,Kanit!AF103+1)</f>
        <v>0.3</v>
      </c>
      <c r="AG103" s="8">
        <f>INDEX(Hedef!$C$17:$C$21,Kanit!AG103+1)</f>
        <v>0.3</v>
      </c>
    </row>
    <row r="104">
      <c r="A104" s="7" t="str">
        <f>Secenekler!A104</f>
        <v>b2b-pazar-yeri-hizmeti-b</v>
      </c>
      <c r="B104" s="7" t="str">
        <f>Secenekler!C104</f>
        <v>Tek kategori talep ve teklif doğrulama raporu</v>
      </c>
      <c r="C104" s="8">
        <f>INDEX(Hedef!$C$17:$C$21,Kanit!C104+1)</f>
        <v>0.3</v>
      </c>
      <c r="D104" s="8">
        <f>INDEX(Hedef!$C$17:$C$21,Kanit!D104+1)</f>
        <v>0.3</v>
      </c>
      <c r="E104" s="8">
        <f>INDEX(Hedef!$C$17:$C$21,Kanit!E104+1)</f>
        <v>0.3</v>
      </c>
      <c r="F104" s="8">
        <f>INDEX(Hedef!$C$17:$C$21,Kanit!F104+1)</f>
        <v>0.3</v>
      </c>
      <c r="G104" s="8">
        <f>INDEX(Hedef!$C$17:$C$21,Kanit!G104+1)</f>
        <v>0.3</v>
      </c>
      <c r="H104" s="8">
        <f>INDEX(Hedef!$C$17:$C$21,Kanit!H104+1)</f>
        <v>0.3</v>
      </c>
      <c r="I104" s="8">
        <f>INDEX(Hedef!$C$17:$C$21,Kanit!I104+1)</f>
        <v>0.3</v>
      </c>
      <c r="J104" s="8">
        <f>INDEX(Hedef!$C$17:$C$21,Kanit!J104+1)</f>
        <v>0.3</v>
      </c>
      <c r="K104" s="8">
        <f>INDEX(Hedef!$C$17:$C$21,Kanit!K104+1)</f>
        <v>0.3</v>
      </c>
      <c r="L104" s="8">
        <f>INDEX(Hedef!$C$17:$C$21,Kanit!L104+1)</f>
        <v>0.3</v>
      </c>
      <c r="M104" s="8">
        <f>INDEX(Hedef!$C$17:$C$21,Kanit!M104+1)</f>
        <v>0.3</v>
      </c>
      <c r="N104" s="8">
        <f>INDEX(Hedef!$C$17:$C$21,Kanit!N104+1)</f>
        <v>0.3</v>
      </c>
      <c r="O104" s="8">
        <f>INDEX(Hedef!$C$17:$C$21,Kanit!O104+1)</f>
        <v>0.3</v>
      </c>
      <c r="P104" s="8">
        <f>INDEX(Hedef!$C$17:$C$21,Kanit!P104+1)</f>
        <v>0.3</v>
      </c>
      <c r="Q104" s="8">
        <f>INDEX(Hedef!$C$17:$C$21,Kanit!Q104+1)</f>
        <v>0.3</v>
      </c>
      <c r="R104" s="8">
        <f>INDEX(Hedef!$C$17:$C$21,Kanit!R104+1)</f>
        <v>0.3</v>
      </c>
      <c r="S104" s="8">
        <f>INDEX(Hedef!$C$17:$C$21,Kanit!S104+1)</f>
        <v>0.3</v>
      </c>
      <c r="T104" s="8">
        <f>INDEX(Hedef!$C$17:$C$21,Kanit!T104+1)</f>
        <v>0.3</v>
      </c>
      <c r="U104" s="8">
        <f>INDEX(Hedef!$C$17:$C$21,Kanit!U104+1)</f>
        <v>0.3</v>
      </c>
      <c r="V104" s="8">
        <f>INDEX(Hedef!$C$17:$C$21,Kanit!V104+1)</f>
        <v>0.3</v>
      </c>
      <c r="W104" s="8">
        <f>INDEX(Hedef!$C$17:$C$21,Kanit!W104+1)</f>
        <v>0.3</v>
      </c>
      <c r="X104" s="8">
        <f>INDEX(Hedef!$C$17:$C$21,Kanit!X104+1)</f>
        <v>0.5</v>
      </c>
      <c r="Y104" s="8">
        <f>INDEX(Hedef!$C$17:$C$21,Kanit!Y104+1)</f>
        <v>0.3</v>
      </c>
      <c r="Z104" s="8">
        <f>INDEX(Hedef!$C$17:$C$21,Kanit!Z104+1)</f>
        <v>0.3</v>
      </c>
      <c r="AA104" s="8">
        <f>INDEX(Hedef!$C$17:$C$21,Kanit!AA104+1)</f>
        <v>0.3</v>
      </c>
      <c r="AB104" s="8">
        <f>INDEX(Hedef!$C$17:$C$21,Kanit!AB104+1)</f>
        <v>0.3</v>
      </c>
      <c r="AD104" s="8">
        <f>INDEX(Hedef!$C$17:$C$21,Kanit!AD104+1)</f>
        <v>0.3</v>
      </c>
      <c r="AE104" s="8">
        <f>INDEX(Hedef!$C$17:$C$21,Kanit!AE104+1)</f>
        <v>0.3</v>
      </c>
      <c r="AF104" s="8">
        <f>INDEX(Hedef!$C$17:$C$21,Kanit!AF104+1)</f>
        <v>0.3</v>
      </c>
      <c r="AG104" s="8">
        <f>INDEX(Hedef!$C$17:$C$21,Kanit!AG104+1)</f>
        <v>0.3</v>
      </c>
    </row>
    <row r="105">
      <c r="A105" s="7" t="str">
        <f>Secenekler!A105</f>
        <v>b2b-pazar-yeri-hizmeti-c</v>
      </c>
      <c r="B105" s="7" t="str">
        <f>Secenekler!C105</f>
        <v>Tam paket: strateji, ekran seti, backlog ve 90 gün koçluk</v>
      </c>
      <c r="C105" s="8">
        <f>INDEX(Hedef!$C$17:$C$21,Kanit!C105+1)</f>
        <v>0.3</v>
      </c>
      <c r="D105" s="8">
        <f>INDEX(Hedef!$C$17:$C$21,Kanit!D105+1)</f>
        <v>0.3</v>
      </c>
      <c r="E105" s="8">
        <f>INDEX(Hedef!$C$17:$C$21,Kanit!E105+1)</f>
        <v>0.3</v>
      </c>
      <c r="F105" s="8">
        <f>INDEX(Hedef!$C$17:$C$21,Kanit!F105+1)</f>
        <v>0.3</v>
      </c>
      <c r="G105" s="8">
        <f>INDEX(Hedef!$C$17:$C$21,Kanit!G105+1)</f>
        <v>0.3</v>
      </c>
      <c r="H105" s="8">
        <f>INDEX(Hedef!$C$17:$C$21,Kanit!H105+1)</f>
        <v>0.3</v>
      </c>
      <c r="I105" s="8">
        <f>INDEX(Hedef!$C$17:$C$21,Kanit!I105+1)</f>
        <v>0.3</v>
      </c>
      <c r="J105" s="8">
        <f>INDEX(Hedef!$C$17:$C$21,Kanit!J105+1)</f>
        <v>0.3</v>
      </c>
      <c r="K105" s="8">
        <f>INDEX(Hedef!$C$17:$C$21,Kanit!K105+1)</f>
        <v>0.3</v>
      </c>
      <c r="L105" s="8">
        <f>INDEX(Hedef!$C$17:$C$21,Kanit!L105+1)</f>
        <v>0.3</v>
      </c>
      <c r="M105" s="8">
        <f>INDEX(Hedef!$C$17:$C$21,Kanit!M105+1)</f>
        <v>0.3</v>
      </c>
      <c r="N105" s="8">
        <f>INDEX(Hedef!$C$17:$C$21,Kanit!N105+1)</f>
        <v>0.3</v>
      </c>
      <c r="O105" s="8">
        <f>INDEX(Hedef!$C$17:$C$21,Kanit!O105+1)</f>
        <v>0.3</v>
      </c>
      <c r="P105" s="8">
        <f>INDEX(Hedef!$C$17:$C$21,Kanit!P105+1)</f>
        <v>0.3</v>
      </c>
      <c r="Q105" s="8">
        <f>INDEX(Hedef!$C$17:$C$21,Kanit!Q105+1)</f>
        <v>0.3</v>
      </c>
      <c r="R105" s="8">
        <f>INDEX(Hedef!$C$17:$C$21,Kanit!R105+1)</f>
        <v>0.3</v>
      </c>
      <c r="S105" s="8">
        <f>INDEX(Hedef!$C$17:$C$21,Kanit!S105+1)</f>
        <v>0.3</v>
      </c>
      <c r="T105" s="8">
        <f>INDEX(Hedef!$C$17:$C$21,Kanit!T105+1)</f>
        <v>0.3</v>
      </c>
      <c r="U105" s="8">
        <f>INDEX(Hedef!$C$17:$C$21,Kanit!U105+1)</f>
        <v>0.3</v>
      </c>
      <c r="V105" s="8">
        <f>INDEX(Hedef!$C$17:$C$21,Kanit!V105+1)</f>
        <v>0.3</v>
      </c>
      <c r="W105" s="8">
        <f>INDEX(Hedef!$C$17:$C$21,Kanit!W105+1)</f>
        <v>0.3</v>
      </c>
      <c r="X105" s="8">
        <f>INDEX(Hedef!$C$17:$C$21,Kanit!X105+1)</f>
        <v>0.5</v>
      </c>
      <c r="Y105" s="8">
        <f>INDEX(Hedef!$C$17:$C$21,Kanit!Y105+1)</f>
        <v>0.3</v>
      </c>
      <c r="Z105" s="8">
        <f>INDEX(Hedef!$C$17:$C$21,Kanit!Z105+1)</f>
        <v>0.3</v>
      </c>
      <c r="AA105" s="8">
        <f>INDEX(Hedef!$C$17:$C$21,Kanit!AA105+1)</f>
        <v>0.3</v>
      </c>
      <c r="AB105" s="8">
        <f>INDEX(Hedef!$C$17:$C$21,Kanit!AB105+1)</f>
        <v>0.3</v>
      </c>
      <c r="AD105" s="8">
        <f>INDEX(Hedef!$C$17:$C$21,Kanit!AD105+1)</f>
        <v>0.3</v>
      </c>
      <c r="AE105" s="8">
        <f>INDEX(Hedef!$C$17:$C$21,Kanit!AE105+1)</f>
        <v>0.3</v>
      </c>
      <c r="AF105" s="8">
        <f>INDEX(Hedef!$C$17:$C$21,Kanit!AF105+1)</f>
        <v>0.3</v>
      </c>
      <c r="AG105" s="8">
        <f>INDEX(Hedef!$C$17:$C$21,Kanit!AG105+1)</f>
        <v>0.3</v>
      </c>
    </row>
    <row r="106">
      <c r="A106" s="7" t="str">
        <f>Secenekler!A106</f>
        <v>lifeos-a</v>
      </c>
      <c r="B106" s="7" t="str">
        <f>Secenekler!C106</f>
        <v>Günün Framework'ü: ücretsiz yan panel ve çalışma kâğıdı paketi</v>
      </c>
      <c r="C106" s="8">
        <f>INDEX(Hedef!$C$17:$C$21,Kanit!C106+1)</f>
        <v>0.3</v>
      </c>
      <c r="D106" s="8">
        <f>INDEX(Hedef!$C$17:$C$21,Kanit!D106+1)</f>
        <v>0.3</v>
      </c>
      <c r="E106" s="8">
        <f>INDEX(Hedef!$C$17:$C$21,Kanit!E106+1)</f>
        <v>0.3</v>
      </c>
      <c r="F106" s="8">
        <f>INDEX(Hedef!$C$17:$C$21,Kanit!F106+1)</f>
        <v>0.5</v>
      </c>
      <c r="G106" s="8">
        <f>INDEX(Hedef!$C$17:$C$21,Kanit!G106+1)</f>
        <v>0.3</v>
      </c>
      <c r="H106" s="8">
        <f>INDEX(Hedef!$C$17:$C$21,Kanit!H106+1)</f>
        <v>0.5</v>
      </c>
      <c r="I106" s="8">
        <f>INDEX(Hedef!$C$17:$C$21,Kanit!I106+1)</f>
        <v>0.3</v>
      </c>
      <c r="J106" s="8">
        <f>INDEX(Hedef!$C$17:$C$21,Kanit!J106+1)</f>
        <v>0.3</v>
      </c>
      <c r="K106" s="8">
        <f>INDEX(Hedef!$C$17:$C$21,Kanit!K106+1)</f>
        <v>0.3</v>
      </c>
      <c r="L106" s="8">
        <f>INDEX(Hedef!$C$17:$C$21,Kanit!L106+1)</f>
        <v>0.3</v>
      </c>
      <c r="M106" s="8">
        <f>INDEX(Hedef!$C$17:$C$21,Kanit!M106+1)</f>
        <v>0.3</v>
      </c>
      <c r="N106" s="8">
        <f>INDEX(Hedef!$C$17:$C$21,Kanit!N106+1)</f>
        <v>0.3</v>
      </c>
      <c r="O106" s="8">
        <f>INDEX(Hedef!$C$17:$C$21,Kanit!O106+1)</f>
        <v>0.3</v>
      </c>
      <c r="P106" s="8">
        <f>INDEX(Hedef!$C$17:$C$21,Kanit!P106+1)</f>
        <v>0.5</v>
      </c>
      <c r="Q106" s="8">
        <f>INDEX(Hedef!$C$17:$C$21,Kanit!Q106+1)</f>
        <v>0.3</v>
      </c>
      <c r="R106" s="8">
        <f>INDEX(Hedef!$C$17:$C$21,Kanit!R106+1)</f>
        <v>0.5</v>
      </c>
      <c r="S106" s="8">
        <f>INDEX(Hedef!$C$17:$C$21,Kanit!S106+1)</f>
        <v>0.3</v>
      </c>
      <c r="T106" s="8">
        <f>INDEX(Hedef!$C$17:$C$21,Kanit!T106+1)</f>
        <v>0.5</v>
      </c>
      <c r="U106" s="8">
        <f>INDEX(Hedef!$C$17:$C$21,Kanit!U106+1)</f>
        <v>0.5</v>
      </c>
      <c r="V106" s="8">
        <f>INDEX(Hedef!$C$17:$C$21,Kanit!V106+1)</f>
        <v>0.3</v>
      </c>
      <c r="W106" s="8">
        <f>INDEX(Hedef!$C$17:$C$21,Kanit!W106+1)</f>
        <v>0.3</v>
      </c>
      <c r="X106" s="8">
        <f>INDEX(Hedef!$C$17:$C$21,Kanit!X106+1)</f>
        <v>0.3</v>
      </c>
      <c r="Y106" s="8">
        <f>INDEX(Hedef!$C$17:$C$21,Kanit!Y106+1)</f>
        <v>0.5</v>
      </c>
      <c r="Z106" s="8">
        <f>INDEX(Hedef!$C$17:$C$21,Kanit!Z106+1)</f>
        <v>0.3</v>
      </c>
      <c r="AA106" s="8">
        <f>INDEX(Hedef!$C$17:$C$21,Kanit!AA106+1)</f>
        <v>0.3</v>
      </c>
      <c r="AB106" s="8">
        <f>INDEX(Hedef!$C$17:$C$21,Kanit!AB106+1)</f>
        <v>0.3</v>
      </c>
      <c r="AD106" s="8">
        <f>INDEX(Hedef!$C$17:$C$21,Kanit!AD106+1)</f>
        <v>0.5</v>
      </c>
      <c r="AE106" s="8">
        <f>INDEX(Hedef!$C$17:$C$21,Kanit!AE106+1)</f>
        <v>0.5</v>
      </c>
      <c r="AF106" s="8">
        <f>INDEX(Hedef!$C$17:$C$21,Kanit!AF106+1)</f>
        <v>0.3</v>
      </c>
      <c r="AG106" s="8">
        <f>INDEX(Hedef!$C$17:$C$21,Kanit!AG106+1)</f>
        <v>0.3</v>
      </c>
    </row>
    <row r="107">
      <c r="A107" s="7" t="str">
        <f>Secenekler!A107</f>
        <v>lifeos-b</v>
      </c>
      <c r="B107" s="7" t="str">
        <f>Secenekler!C107</f>
        <v>Freelancer haftalık çalışma kaydı: yerel CSV ve kurulum paketi</v>
      </c>
      <c r="C107" s="8">
        <f>INDEX(Hedef!$C$17:$C$21,Kanit!C107+1)</f>
        <v>0.3</v>
      </c>
      <c r="D107" s="8">
        <f>INDEX(Hedef!$C$17:$C$21,Kanit!D107+1)</f>
        <v>0.3</v>
      </c>
      <c r="E107" s="8">
        <f>INDEX(Hedef!$C$17:$C$21,Kanit!E107+1)</f>
        <v>0.3</v>
      </c>
      <c r="F107" s="8">
        <f>INDEX(Hedef!$C$17:$C$21,Kanit!F107+1)</f>
        <v>0.3</v>
      </c>
      <c r="G107" s="8">
        <f>INDEX(Hedef!$C$17:$C$21,Kanit!G107+1)</f>
        <v>0.3</v>
      </c>
      <c r="H107" s="8">
        <f>INDEX(Hedef!$C$17:$C$21,Kanit!H107+1)</f>
        <v>0.3</v>
      </c>
      <c r="I107" s="8">
        <f>INDEX(Hedef!$C$17:$C$21,Kanit!I107+1)</f>
        <v>0.3</v>
      </c>
      <c r="J107" s="8">
        <f>INDEX(Hedef!$C$17:$C$21,Kanit!J107+1)</f>
        <v>0.3</v>
      </c>
      <c r="K107" s="8">
        <f>INDEX(Hedef!$C$17:$C$21,Kanit!K107+1)</f>
        <v>0.3</v>
      </c>
      <c r="L107" s="8">
        <f>INDEX(Hedef!$C$17:$C$21,Kanit!L107+1)</f>
        <v>0.3</v>
      </c>
      <c r="M107" s="8">
        <f>INDEX(Hedef!$C$17:$C$21,Kanit!M107+1)</f>
        <v>0.3</v>
      </c>
      <c r="N107" s="8">
        <f>INDEX(Hedef!$C$17:$C$21,Kanit!N107+1)</f>
        <v>0.3</v>
      </c>
      <c r="O107" s="8">
        <f>INDEX(Hedef!$C$17:$C$21,Kanit!O107+1)</f>
        <v>0.3</v>
      </c>
      <c r="P107" s="8">
        <f>INDEX(Hedef!$C$17:$C$21,Kanit!P107+1)</f>
        <v>0.3</v>
      </c>
      <c r="Q107" s="8">
        <f>INDEX(Hedef!$C$17:$C$21,Kanit!Q107+1)</f>
        <v>0.3</v>
      </c>
      <c r="R107" s="8">
        <f>INDEX(Hedef!$C$17:$C$21,Kanit!R107+1)</f>
        <v>0.3</v>
      </c>
      <c r="S107" s="8">
        <f>INDEX(Hedef!$C$17:$C$21,Kanit!S107+1)</f>
        <v>0.3</v>
      </c>
      <c r="T107" s="8">
        <f>INDEX(Hedef!$C$17:$C$21,Kanit!T107+1)</f>
        <v>0.3</v>
      </c>
      <c r="U107" s="8">
        <f>INDEX(Hedef!$C$17:$C$21,Kanit!U107+1)</f>
        <v>0.5</v>
      </c>
      <c r="V107" s="8">
        <f>INDEX(Hedef!$C$17:$C$21,Kanit!V107+1)</f>
        <v>0.3</v>
      </c>
      <c r="W107" s="8">
        <f>INDEX(Hedef!$C$17:$C$21,Kanit!W107+1)</f>
        <v>0.3</v>
      </c>
      <c r="X107" s="8">
        <f>INDEX(Hedef!$C$17:$C$21,Kanit!X107+1)</f>
        <v>0.3</v>
      </c>
      <c r="Y107" s="8">
        <f>INDEX(Hedef!$C$17:$C$21,Kanit!Y107+1)</f>
        <v>0.3</v>
      </c>
      <c r="Z107" s="8">
        <f>INDEX(Hedef!$C$17:$C$21,Kanit!Z107+1)</f>
        <v>0.3</v>
      </c>
      <c r="AA107" s="8">
        <f>INDEX(Hedef!$C$17:$C$21,Kanit!AA107+1)</f>
        <v>0.3</v>
      </c>
      <c r="AB107" s="8">
        <f>INDEX(Hedef!$C$17:$C$21,Kanit!AB107+1)</f>
        <v>0.3</v>
      </c>
      <c r="AD107" s="8">
        <f>INDEX(Hedef!$C$17:$C$21,Kanit!AD107+1)</f>
        <v>0.3</v>
      </c>
      <c r="AE107" s="8">
        <f>INDEX(Hedef!$C$17:$C$21,Kanit!AE107+1)</f>
        <v>0.3</v>
      </c>
      <c r="AF107" s="8">
        <f>INDEX(Hedef!$C$17:$C$21,Kanit!AF107+1)</f>
        <v>0.3</v>
      </c>
      <c r="AG107" s="8">
        <f>INDEX(Hedef!$C$17:$C$21,Kanit!AG107+1)</f>
        <v>0.3</v>
      </c>
    </row>
    <row r="108">
      <c r="A108" s="7" t="str">
        <f>Secenekler!A108</f>
        <v>lifeos-c</v>
      </c>
      <c r="B108" s="7" t="str">
        <f>Secenekler!C108</f>
        <v>Tek rutin yeni sekme şablonu: açık çekirdek ve ücretli kit</v>
      </c>
      <c r="C108" s="8">
        <f>INDEX(Hedef!$C$17:$C$21,Kanit!C108+1)</f>
        <v>0.3</v>
      </c>
      <c r="D108" s="8">
        <f>INDEX(Hedef!$C$17:$C$21,Kanit!D108+1)</f>
        <v>0.3</v>
      </c>
      <c r="E108" s="8">
        <f>INDEX(Hedef!$C$17:$C$21,Kanit!E108+1)</f>
        <v>0.3</v>
      </c>
      <c r="F108" s="8">
        <f>INDEX(Hedef!$C$17:$C$21,Kanit!F108+1)</f>
        <v>0.3</v>
      </c>
      <c r="G108" s="8">
        <f>INDEX(Hedef!$C$17:$C$21,Kanit!G108+1)</f>
        <v>0.3</v>
      </c>
      <c r="H108" s="8">
        <f>INDEX(Hedef!$C$17:$C$21,Kanit!H108+1)</f>
        <v>0.3</v>
      </c>
      <c r="I108" s="8">
        <f>INDEX(Hedef!$C$17:$C$21,Kanit!I108+1)</f>
        <v>0.3</v>
      </c>
      <c r="J108" s="8">
        <f>INDEX(Hedef!$C$17:$C$21,Kanit!J108+1)</f>
        <v>0.3</v>
      </c>
      <c r="K108" s="8">
        <f>INDEX(Hedef!$C$17:$C$21,Kanit!K108+1)</f>
        <v>0.3</v>
      </c>
      <c r="L108" s="8">
        <f>INDEX(Hedef!$C$17:$C$21,Kanit!L108+1)</f>
        <v>0.3</v>
      </c>
      <c r="M108" s="8">
        <f>INDEX(Hedef!$C$17:$C$21,Kanit!M108+1)</f>
        <v>0.3</v>
      </c>
      <c r="N108" s="8">
        <f>INDEX(Hedef!$C$17:$C$21,Kanit!N108+1)</f>
        <v>0.3</v>
      </c>
      <c r="O108" s="8">
        <f>INDEX(Hedef!$C$17:$C$21,Kanit!O108+1)</f>
        <v>0.3</v>
      </c>
      <c r="P108" s="8">
        <f>INDEX(Hedef!$C$17:$C$21,Kanit!P108+1)</f>
        <v>0.3</v>
      </c>
      <c r="Q108" s="8">
        <f>INDEX(Hedef!$C$17:$C$21,Kanit!Q108+1)</f>
        <v>0.3</v>
      </c>
      <c r="R108" s="8">
        <f>INDEX(Hedef!$C$17:$C$21,Kanit!R108+1)</f>
        <v>0.3</v>
      </c>
      <c r="S108" s="8">
        <f>INDEX(Hedef!$C$17:$C$21,Kanit!S108+1)</f>
        <v>0.3</v>
      </c>
      <c r="T108" s="8">
        <f>INDEX(Hedef!$C$17:$C$21,Kanit!T108+1)</f>
        <v>0.3</v>
      </c>
      <c r="U108" s="8">
        <f>INDEX(Hedef!$C$17:$C$21,Kanit!U108+1)</f>
        <v>0.5</v>
      </c>
      <c r="V108" s="8">
        <f>INDEX(Hedef!$C$17:$C$21,Kanit!V108+1)</f>
        <v>0.3</v>
      </c>
      <c r="W108" s="8">
        <f>INDEX(Hedef!$C$17:$C$21,Kanit!W108+1)</f>
        <v>0.3</v>
      </c>
      <c r="X108" s="8">
        <f>INDEX(Hedef!$C$17:$C$21,Kanit!X108+1)</f>
        <v>0.3</v>
      </c>
      <c r="Y108" s="8">
        <f>INDEX(Hedef!$C$17:$C$21,Kanit!Y108+1)</f>
        <v>0.5</v>
      </c>
      <c r="Z108" s="8">
        <f>INDEX(Hedef!$C$17:$C$21,Kanit!Z108+1)</f>
        <v>0.3</v>
      </c>
      <c r="AA108" s="8">
        <f>INDEX(Hedef!$C$17:$C$21,Kanit!AA108+1)</f>
        <v>0.3</v>
      </c>
      <c r="AB108" s="8">
        <f>INDEX(Hedef!$C$17:$C$21,Kanit!AB108+1)</f>
        <v>0.3</v>
      </c>
      <c r="AD108" s="8">
        <f>INDEX(Hedef!$C$17:$C$21,Kanit!AD108+1)</f>
        <v>0.5</v>
      </c>
      <c r="AE108" s="8">
        <f>INDEX(Hedef!$C$17:$C$21,Kanit!AE108+1)</f>
        <v>0.5</v>
      </c>
      <c r="AF108" s="8">
        <f>INDEX(Hedef!$C$17:$C$21,Kanit!AF108+1)</f>
        <v>0.3</v>
      </c>
      <c r="AG108" s="8">
        <f>INDEX(Hedef!$C$17:$C$21,Kanit!AG108+1)</f>
        <v>0.3</v>
      </c>
    </row>
    <row r="109">
      <c r="A109" s="7" t="str">
        <f>Secenekler!A109</f>
        <v>luquit-a</v>
      </c>
      <c r="B109" s="7" t="str">
        <f>Secenekler!C109</f>
        <v>Emlakçı CRM Lite aylık abonelik (bağımsız ofis)</v>
      </c>
      <c r="C109" s="8">
        <f>INDEX(Hedef!$C$17:$C$21,Kanit!C109+1)</f>
        <v>0.3</v>
      </c>
      <c r="D109" s="8">
        <f>INDEX(Hedef!$C$17:$C$21,Kanit!D109+1)</f>
        <v>0.3</v>
      </c>
      <c r="E109" s="8">
        <f>INDEX(Hedef!$C$17:$C$21,Kanit!E109+1)</f>
        <v>0.5</v>
      </c>
      <c r="F109" s="8">
        <f>INDEX(Hedef!$C$17:$C$21,Kanit!F109+1)</f>
        <v>0.5</v>
      </c>
      <c r="G109" s="8">
        <f>INDEX(Hedef!$C$17:$C$21,Kanit!G109+1)</f>
        <v>0.3</v>
      </c>
      <c r="H109" s="8">
        <f>INDEX(Hedef!$C$17:$C$21,Kanit!H109+1)</f>
        <v>0.5</v>
      </c>
      <c r="I109" s="8">
        <f>INDEX(Hedef!$C$17:$C$21,Kanit!I109+1)</f>
        <v>0.5</v>
      </c>
      <c r="J109" s="8">
        <f>INDEX(Hedef!$C$17:$C$21,Kanit!J109+1)</f>
        <v>0.5</v>
      </c>
      <c r="K109" s="8">
        <f>INDEX(Hedef!$C$17:$C$21,Kanit!K109+1)</f>
        <v>0.3</v>
      </c>
      <c r="L109" s="8">
        <f>INDEX(Hedef!$C$17:$C$21,Kanit!L109+1)</f>
        <v>0.3</v>
      </c>
      <c r="M109" s="8">
        <f>INDEX(Hedef!$C$17:$C$21,Kanit!M109+1)</f>
        <v>0.5</v>
      </c>
      <c r="N109" s="8">
        <f>INDEX(Hedef!$C$17:$C$21,Kanit!N109+1)</f>
        <v>0.3</v>
      </c>
      <c r="O109" s="8">
        <f>INDEX(Hedef!$C$17:$C$21,Kanit!O109+1)</f>
        <v>0.3</v>
      </c>
      <c r="P109" s="8">
        <f>INDEX(Hedef!$C$17:$C$21,Kanit!P109+1)</f>
        <v>0.5</v>
      </c>
      <c r="Q109" s="8">
        <f>INDEX(Hedef!$C$17:$C$21,Kanit!Q109+1)</f>
        <v>0.3</v>
      </c>
      <c r="R109" s="8">
        <f>INDEX(Hedef!$C$17:$C$21,Kanit!R109+1)</f>
        <v>0.3</v>
      </c>
      <c r="S109" s="8">
        <f>INDEX(Hedef!$C$17:$C$21,Kanit!S109+1)</f>
        <v>0.3</v>
      </c>
      <c r="T109" s="8">
        <f>INDEX(Hedef!$C$17:$C$21,Kanit!T109+1)</f>
        <v>0.3</v>
      </c>
      <c r="U109" s="8">
        <f>INDEX(Hedef!$C$17:$C$21,Kanit!U109+1)</f>
        <v>0.5</v>
      </c>
      <c r="V109" s="8">
        <f>INDEX(Hedef!$C$17:$C$21,Kanit!V109+1)</f>
        <v>0.5</v>
      </c>
      <c r="W109" s="8">
        <f>INDEX(Hedef!$C$17:$C$21,Kanit!W109+1)</f>
        <v>0.3</v>
      </c>
      <c r="X109" s="8">
        <f>INDEX(Hedef!$C$17:$C$21,Kanit!X109+1)</f>
        <v>0.3</v>
      </c>
      <c r="Y109" s="8">
        <f>INDEX(Hedef!$C$17:$C$21,Kanit!Y109+1)</f>
        <v>0.5</v>
      </c>
      <c r="Z109" s="8">
        <f>INDEX(Hedef!$C$17:$C$21,Kanit!Z109+1)</f>
        <v>0.3</v>
      </c>
      <c r="AA109" s="8">
        <f>INDEX(Hedef!$C$17:$C$21,Kanit!AA109+1)</f>
        <v>0.3</v>
      </c>
      <c r="AB109" s="8">
        <f>INDEX(Hedef!$C$17:$C$21,Kanit!AB109+1)</f>
        <v>0.3</v>
      </c>
      <c r="AD109" s="8">
        <f>INDEX(Hedef!$C$17:$C$21,Kanit!AD109+1)</f>
        <v>0.5</v>
      </c>
      <c r="AE109" s="8">
        <f>INDEX(Hedef!$C$17:$C$21,Kanit!AE109+1)</f>
        <v>0.5</v>
      </c>
      <c r="AF109" s="8">
        <f>INDEX(Hedef!$C$17:$C$21,Kanit!AF109+1)</f>
        <v>0.3</v>
      </c>
      <c r="AG109" s="8">
        <f>INDEX(Hedef!$C$17:$C$21,Kanit!AG109+1)</f>
        <v>0.3</v>
      </c>
    </row>
    <row r="110">
      <c r="A110" s="7" t="str">
        <f>Secenekler!A110</f>
        <v>luquit-b</v>
      </c>
      <c r="B110" s="7" t="str">
        <f>Secenekler!C110</f>
        <v>Destekli cam arayüz yolculuk kiti (ajans ve freelancer)</v>
      </c>
      <c r="C110" s="8">
        <f>INDEX(Hedef!$C$17:$C$21,Kanit!C110+1)</f>
        <v>0.3</v>
      </c>
      <c r="D110" s="8">
        <f>INDEX(Hedef!$C$17:$C$21,Kanit!D110+1)</f>
        <v>0.3</v>
      </c>
      <c r="E110" s="8">
        <f>INDEX(Hedef!$C$17:$C$21,Kanit!E110+1)</f>
        <v>0.5</v>
      </c>
      <c r="F110" s="8">
        <f>INDEX(Hedef!$C$17:$C$21,Kanit!F110+1)</f>
        <v>0.5</v>
      </c>
      <c r="G110" s="8">
        <f>INDEX(Hedef!$C$17:$C$21,Kanit!G110+1)</f>
        <v>0.3</v>
      </c>
      <c r="H110" s="8">
        <f>INDEX(Hedef!$C$17:$C$21,Kanit!H110+1)</f>
        <v>0.5</v>
      </c>
      <c r="I110" s="8">
        <f>INDEX(Hedef!$C$17:$C$21,Kanit!I110+1)</f>
        <v>0.3</v>
      </c>
      <c r="J110" s="8">
        <f>INDEX(Hedef!$C$17:$C$21,Kanit!J110+1)</f>
        <v>0.5</v>
      </c>
      <c r="K110" s="8">
        <f>INDEX(Hedef!$C$17:$C$21,Kanit!K110+1)</f>
        <v>0.3</v>
      </c>
      <c r="L110" s="8">
        <f>INDEX(Hedef!$C$17:$C$21,Kanit!L110+1)</f>
        <v>0.3</v>
      </c>
      <c r="M110" s="8">
        <f>INDEX(Hedef!$C$17:$C$21,Kanit!M110+1)</f>
        <v>0.3</v>
      </c>
      <c r="N110" s="8">
        <f>INDEX(Hedef!$C$17:$C$21,Kanit!N110+1)</f>
        <v>0.3</v>
      </c>
      <c r="O110" s="8">
        <f>INDEX(Hedef!$C$17:$C$21,Kanit!O110+1)</f>
        <v>0.3</v>
      </c>
      <c r="P110" s="8">
        <f>INDEX(Hedef!$C$17:$C$21,Kanit!P110+1)</f>
        <v>0.3</v>
      </c>
      <c r="Q110" s="8">
        <f>INDEX(Hedef!$C$17:$C$21,Kanit!Q110+1)</f>
        <v>0.3</v>
      </c>
      <c r="R110" s="8">
        <f>INDEX(Hedef!$C$17:$C$21,Kanit!R110+1)</f>
        <v>0.3</v>
      </c>
      <c r="S110" s="8">
        <f>INDEX(Hedef!$C$17:$C$21,Kanit!S110+1)</f>
        <v>0.3</v>
      </c>
      <c r="T110" s="8">
        <f>INDEX(Hedef!$C$17:$C$21,Kanit!T110+1)</f>
        <v>0.3</v>
      </c>
      <c r="U110" s="8">
        <f>INDEX(Hedef!$C$17:$C$21,Kanit!U110+1)</f>
        <v>0.3</v>
      </c>
      <c r="V110" s="8">
        <f>INDEX(Hedef!$C$17:$C$21,Kanit!V110+1)</f>
        <v>0.3</v>
      </c>
      <c r="W110" s="8">
        <f>INDEX(Hedef!$C$17:$C$21,Kanit!W110+1)</f>
        <v>0.3</v>
      </c>
      <c r="X110" s="8">
        <f>INDEX(Hedef!$C$17:$C$21,Kanit!X110+1)</f>
        <v>0.3</v>
      </c>
      <c r="Y110" s="8">
        <f>INDEX(Hedef!$C$17:$C$21,Kanit!Y110+1)</f>
        <v>0.5</v>
      </c>
      <c r="Z110" s="8">
        <f>INDEX(Hedef!$C$17:$C$21,Kanit!Z110+1)</f>
        <v>0.3</v>
      </c>
      <c r="AA110" s="8">
        <f>INDEX(Hedef!$C$17:$C$21,Kanit!AA110+1)</f>
        <v>0.3</v>
      </c>
      <c r="AB110" s="8">
        <f>INDEX(Hedef!$C$17:$C$21,Kanit!AB110+1)</f>
        <v>0.3</v>
      </c>
      <c r="AD110" s="8">
        <f>INDEX(Hedef!$C$17:$C$21,Kanit!AD110+1)</f>
        <v>0.5</v>
      </c>
      <c r="AE110" s="8">
        <f>INDEX(Hedef!$C$17:$C$21,Kanit!AE110+1)</f>
        <v>0.5</v>
      </c>
      <c r="AF110" s="8">
        <f>INDEX(Hedef!$C$17:$C$21,Kanit!AF110+1)</f>
        <v>0.3</v>
      </c>
      <c r="AG110" s="8">
        <f>INDEX(Hedef!$C$17:$C$21,Kanit!AG110+1)</f>
        <v>0.5</v>
      </c>
    </row>
    <row r="111">
      <c r="A111" s="7" t="str">
        <f>Secenekler!A111</f>
        <v>metaframer-kernel-a</v>
      </c>
      <c r="B111" s="7" t="str">
        <f>Secenekler!C111</f>
        <v>tenantkit lisanslı kit (Solo ve Team, küresel)</v>
      </c>
      <c r="C111" s="8">
        <f>INDEX(Hedef!$C$17:$C$21,Kanit!C111+1)</f>
        <v>0.3</v>
      </c>
      <c r="D111" s="8">
        <f>INDEX(Hedef!$C$17:$C$21,Kanit!D111+1)</f>
        <v>0.5</v>
      </c>
      <c r="E111" s="8">
        <f>INDEX(Hedef!$C$17:$C$21,Kanit!E111+1)</f>
        <v>0.5</v>
      </c>
      <c r="F111" s="8">
        <f>INDEX(Hedef!$C$17:$C$21,Kanit!F111+1)</f>
        <v>0.5</v>
      </c>
      <c r="G111" s="8">
        <f>INDEX(Hedef!$C$17:$C$21,Kanit!G111+1)</f>
        <v>0.3</v>
      </c>
      <c r="H111" s="8">
        <f>INDEX(Hedef!$C$17:$C$21,Kanit!H111+1)</f>
        <v>0.5</v>
      </c>
      <c r="I111" s="8">
        <f>INDEX(Hedef!$C$17:$C$21,Kanit!I111+1)</f>
        <v>0.3</v>
      </c>
      <c r="J111" s="8">
        <f>INDEX(Hedef!$C$17:$C$21,Kanit!J111+1)</f>
        <v>0.5</v>
      </c>
      <c r="K111" s="8">
        <f>INDEX(Hedef!$C$17:$C$21,Kanit!K111+1)</f>
        <v>0.3</v>
      </c>
      <c r="L111" s="8">
        <f>INDEX(Hedef!$C$17:$C$21,Kanit!L111+1)</f>
        <v>0.3</v>
      </c>
      <c r="M111" s="8">
        <f>INDEX(Hedef!$C$17:$C$21,Kanit!M111+1)</f>
        <v>0.3</v>
      </c>
      <c r="N111" s="8">
        <f>INDEX(Hedef!$C$17:$C$21,Kanit!N111+1)</f>
        <v>0.3</v>
      </c>
      <c r="O111" s="8">
        <f>INDEX(Hedef!$C$17:$C$21,Kanit!O111+1)</f>
        <v>0.3</v>
      </c>
      <c r="P111" s="8">
        <f>INDEX(Hedef!$C$17:$C$21,Kanit!P111+1)</f>
        <v>0.3</v>
      </c>
      <c r="Q111" s="8">
        <f>INDEX(Hedef!$C$17:$C$21,Kanit!Q111+1)</f>
        <v>0.3</v>
      </c>
      <c r="R111" s="8">
        <f>INDEX(Hedef!$C$17:$C$21,Kanit!R111+1)</f>
        <v>0.3</v>
      </c>
      <c r="S111" s="8">
        <f>INDEX(Hedef!$C$17:$C$21,Kanit!S111+1)</f>
        <v>0.3</v>
      </c>
      <c r="T111" s="8">
        <f>INDEX(Hedef!$C$17:$C$21,Kanit!T111+1)</f>
        <v>0.3</v>
      </c>
      <c r="U111" s="8">
        <f>INDEX(Hedef!$C$17:$C$21,Kanit!U111+1)</f>
        <v>0.3</v>
      </c>
      <c r="V111" s="8">
        <f>INDEX(Hedef!$C$17:$C$21,Kanit!V111+1)</f>
        <v>0.3</v>
      </c>
      <c r="W111" s="8">
        <f>INDEX(Hedef!$C$17:$C$21,Kanit!W111+1)</f>
        <v>0.3</v>
      </c>
      <c r="X111" s="8">
        <f>INDEX(Hedef!$C$17:$C$21,Kanit!X111+1)</f>
        <v>0.5</v>
      </c>
      <c r="Y111" s="8">
        <f>INDEX(Hedef!$C$17:$C$21,Kanit!Y111+1)</f>
        <v>0.5</v>
      </c>
      <c r="Z111" s="8">
        <f>INDEX(Hedef!$C$17:$C$21,Kanit!Z111+1)</f>
        <v>0.3</v>
      </c>
      <c r="AA111" s="8">
        <f>INDEX(Hedef!$C$17:$C$21,Kanit!AA111+1)</f>
        <v>0.3</v>
      </c>
      <c r="AB111" s="8">
        <f>INDEX(Hedef!$C$17:$C$21,Kanit!AB111+1)</f>
        <v>0.3</v>
      </c>
      <c r="AD111" s="8">
        <f>INDEX(Hedef!$C$17:$C$21,Kanit!AD111+1)</f>
        <v>0.5</v>
      </c>
      <c r="AE111" s="8">
        <f>INDEX(Hedef!$C$17:$C$21,Kanit!AE111+1)</f>
        <v>0.5</v>
      </c>
      <c r="AF111" s="8">
        <f>INDEX(Hedef!$C$17:$C$21,Kanit!AF111+1)</f>
        <v>0.3</v>
      </c>
      <c r="AG111" s="8">
        <f>INDEX(Hedef!$C$17:$C$21,Kanit!AG111+1)</f>
        <v>0.3</v>
      </c>
    </row>
    <row r="112">
      <c r="A112" s="7" t="str">
        <f>Secenekler!A112</f>
        <v>metaframer-kernel-b</v>
      </c>
      <c r="B112" s="7" t="str">
        <f>Secenekler!C112</f>
        <v>Ajans paketi: Team lisansı ve 1 günlük atölye (Türkiye)</v>
      </c>
      <c r="C112" s="8">
        <f>INDEX(Hedef!$C$17:$C$21,Kanit!C112+1)</f>
        <v>0.3</v>
      </c>
      <c r="D112" s="8">
        <f>INDEX(Hedef!$C$17:$C$21,Kanit!D112+1)</f>
        <v>0.3</v>
      </c>
      <c r="E112" s="8">
        <f>INDEX(Hedef!$C$17:$C$21,Kanit!E112+1)</f>
        <v>0.3</v>
      </c>
      <c r="F112" s="8">
        <f>INDEX(Hedef!$C$17:$C$21,Kanit!F112+1)</f>
        <v>0.3</v>
      </c>
      <c r="G112" s="8">
        <f>INDEX(Hedef!$C$17:$C$21,Kanit!G112+1)</f>
        <v>0.3</v>
      </c>
      <c r="H112" s="8">
        <f>INDEX(Hedef!$C$17:$C$21,Kanit!H112+1)</f>
        <v>0.3</v>
      </c>
      <c r="I112" s="8">
        <f>INDEX(Hedef!$C$17:$C$21,Kanit!I112+1)</f>
        <v>0.3</v>
      </c>
      <c r="J112" s="8">
        <f>INDEX(Hedef!$C$17:$C$21,Kanit!J112+1)</f>
        <v>0.3</v>
      </c>
      <c r="K112" s="8">
        <f>INDEX(Hedef!$C$17:$C$21,Kanit!K112+1)</f>
        <v>0.3</v>
      </c>
      <c r="L112" s="8">
        <f>INDEX(Hedef!$C$17:$C$21,Kanit!L112+1)</f>
        <v>0.3</v>
      </c>
      <c r="M112" s="8">
        <f>INDEX(Hedef!$C$17:$C$21,Kanit!M112+1)</f>
        <v>0.3</v>
      </c>
      <c r="N112" s="8">
        <f>INDEX(Hedef!$C$17:$C$21,Kanit!N112+1)</f>
        <v>0.3</v>
      </c>
      <c r="O112" s="8">
        <f>INDEX(Hedef!$C$17:$C$21,Kanit!O112+1)</f>
        <v>0.3</v>
      </c>
      <c r="P112" s="8">
        <f>INDEX(Hedef!$C$17:$C$21,Kanit!P112+1)</f>
        <v>0.3</v>
      </c>
      <c r="Q112" s="8">
        <f>INDEX(Hedef!$C$17:$C$21,Kanit!Q112+1)</f>
        <v>0.3</v>
      </c>
      <c r="R112" s="8">
        <f>INDEX(Hedef!$C$17:$C$21,Kanit!R112+1)</f>
        <v>0.3</v>
      </c>
      <c r="S112" s="8">
        <f>INDEX(Hedef!$C$17:$C$21,Kanit!S112+1)</f>
        <v>0.3</v>
      </c>
      <c r="T112" s="8">
        <f>INDEX(Hedef!$C$17:$C$21,Kanit!T112+1)</f>
        <v>0.3</v>
      </c>
      <c r="U112" s="8">
        <f>INDEX(Hedef!$C$17:$C$21,Kanit!U112+1)</f>
        <v>0.3</v>
      </c>
      <c r="V112" s="8">
        <f>INDEX(Hedef!$C$17:$C$21,Kanit!V112+1)</f>
        <v>0.3</v>
      </c>
      <c r="W112" s="8">
        <f>INDEX(Hedef!$C$17:$C$21,Kanit!W112+1)</f>
        <v>0.3</v>
      </c>
      <c r="X112" s="8">
        <f>INDEX(Hedef!$C$17:$C$21,Kanit!X112+1)</f>
        <v>0.5</v>
      </c>
      <c r="Y112" s="8">
        <f>INDEX(Hedef!$C$17:$C$21,Kanit!Y112+1)</f>
        <v>0.3</v>
      </c>
      <c r="Z112" s="8">
        <f>INDEX(Hedef!$C$17:$C$21,Kanit!Z112+1)</f>
        <v>0.3</v>
      </c>
      <c r="AA112" s="8">
        <f>INDEX(Hedef!$C$17:$C$21,Kanit!AA112+1)</f>
        <v>0.3</v>
      </c>
      <c r="AB112" s="8">
        <f>INDEX(Hedef!$C$17:$C$21,Kanit!AB112+1)</f>
        <v>0.3</v>
      </c>
      <c r="AD112" s="8">
        <f>INDEX(Hedef!$C$17:$C$21,Kanit!AD112+1)</f>
        <v>0.5</v>
      </c>
      <c r="AE112" s="8">
        <f>INDEX(Hedef!$C$17:$C$21,Kanit!AE112+1)</f>
        <v>0.3</v>
      </c>
      <c r="AF112" s="8">
        <f>INDEX(Hedef!$C$17:$C$21,Kanit!AF112+1)</f>
        <v>0.3</v>
      </c>
      <c r="AG112" s="8">
        <f>INDEX(Hedef!$C$17:$C$21,Kanit!AG112+1)</f>
        <v>0.3</v>
      </c>
    </row>
    <row r="113">
      <c r="A113" s="7" t="str">
        <f>Secenekler!A113</f>
        <v>metaframer-kernel-c</v>
      </c>
      <c r="B113" s="7" t="str">
        <f>Secenekler!C113</f>
        <v>Tek eylem çok kiracılı güvenlik entegrasyon paketi</v>
      </c>
      <c r="C113" s="8">
        <f>INDEX(Hedef!$C$17:$C$21,Kanit!C113+1)</f>
        <v>0.3</v>
      </c>
      <c r="D113" s="8">
        <f>INDEX(Hedef!$C$17:$C$21,Kanit!D113+1)</f>
        <v>0.3</v>
      </c>
      <c r="E113" s="8">
        <f>INDEX(Hedef!$C$17:$C$21,Kanit!E113+1)</f>
        <v>0.3</v>
      </c>
      <c r="F113" s="8">
        <f>INDEX(Hedef!$C$17:$C$21,Kanit!F113+1)</f>
        <v>0.5</v>
      </c>
      <c r="G113" s="8">
        <f>INDEX(Hedef!$C$17:$C$21,Kanit!G113+1)</f>
        <v>0.3</v>
      </c>
      <c r="H113" s="8">
        <f>INDEX(Hedef!$C$17:$C$21,Kanit!H113+1)</f>
        <v>0.3</v>
      </c>
      <c r="I113" s="8">
        <f>INDEX(Hedef!$C$17:$C$21,Kanit!I113+1)</f>
        <v>0.3</v>
      </c>
      <c r="J113" s="8">
        <f>INDEX(Hedef!$C$17:$C$21,Kanit!J113+1)</f>
        <v>0.3</v>
      </c>
      <c r="K113" s="8">
        <f>INDEX(Hedef!$C$17:$C$21,Kanit!K113+1)</f>
        <v>0.3</v>
      </c>
      <c r="L113" s="8">
        <f>INDEX(Hedef!$C$17:$C$21,Kanit!L113+1)</f>
        <v>0.3</v>
      </c>
      <c r="M113" s="8">
        <f>INDEX(Hedef!$C$17:$C$21,Kanit!M113+1)</f>
        <v>0.3</v>
      </c>
      <c r="N113" s="8">
        <f>INDEX(Hedef!$C$17:$C$21,Kanit!N113+1)</f>
        <v>0.3</v>
      </c>
      <c r="O113" s="8">
        <f>INDEX(Hedef!$C$17:$C$21,Kanit!O113+1)</f>
        <v>0.3</v>
      </c>
      <c r="P113" s="8">
        <f>INDEX(Hedef!$C$17:$C$21,Kanit!P113+1)</f>
        <v>0.3</v>
      </c>
      <c r="Q113" s="8">
        <f>INDEX(Hedef!$C$17:$C$21,Kanit!Q113+1)</f>
        <v>0.3</v>
      </c>
      <c r="R113" s="8">
        <f>INDEX(Hedef!$C$17:$C$21,Kanit!R113+1)</f>
        <v>0.3</v>
      </c>
      <c r="S113" s="8">
        <f>INDEX(Hedef!$C$17:$C$21,Kanit!S113+1)</f>
        <v>0.3</v>
      </c>
      <c r="T113" s="8">
        <f>INDEX(Hedef!$C$17:$C$21,Kanit!T113+1)</f>
        <v>0.3</v>
      </c>
      <c r="U113" s="8">
        <f>INDEX(Hedef!$C$17:$C$21,Kanit!U113+1)</f>
        <v>0.3</v>
      </c>
      <c r="V113" s="8">
        <f>INDEX(Hedef!$C$17:$C$21,Kanit!V113+1)</f>
        <v>0.3</v>
      </c>
      <c r="W113" s="8">
        <f>INDEX(Hedef!$C$17:$C$21,Kanit!W113+1)</f>
        <v>0.3</v>
      </c>
      <c r="X113" s="8">
        <f>INDEX(Hedef!$C$17:$C$21,Kanit!X113+1)</f>
        <v>0.5</v>
      </c>
      <c r="Y113" s="8">
        <f>INDEX(Hedef!$C$17:$C$21,Kanit!Y113+1)</f>
        <v>0.5</v>
      </c>
      <c r="Z113" s="8">
        <f>INDEX(Hedef!$C$17:$C$21,Kanit!Z113+1)</f>
        <v>0.3</v>
      </c>
      <c r="AA113" s="8">
        <f>INDEX(Hedef!$C$17:$C$21,Kanit!AA113+1)</f>
        <v>0.3</v>
      </c>
      <c r="AB113" s="8">
        <f>INDEX(Hedef!$C$17:$C$21,Kanit!AB113+1)</f>
        <v>0.3</v>
      </c>
      <c r="AD113" s="8">
        <f>INDEX(Hedef!$C$17:$C$21,Kanit!AD113+1)</f>
        <v>0.3</v>
      </c>
      <c r="AE113" s="8">
        <f>INDEX(Hedef!$C$17:$C$21,Kanit!AE113+1)</f>
        <v>0.5</v>
      </c>
      <c r="AF113" s="8">
        <f>INDEX(Hedef!$C$17:$C$21,Kanit!AF113+1)</f>
        <v>0.3</v>
      </c>
      <c r="AG113" s="8">
        <f>INDEX(Hedef!$C$17:$C$21,Kanit!AG113+1)</f>
        <v>0.3</v>
      </c>
    </row>
    <row r="114">
      <c r="A114" s="7" t="str">
        <f>Secenekler!A114</f>
        <v>alan-adi-bulucu-a</v>
      </c>
      <c r="B114" s="7" t="str">
        <f>Secenekler!C114</f>
        <v>Proje paketi: Türkçe puanlı boş .com kısa liste aracı</v>
      </c>
      <c r="C114" s="8">
        <f>INDEX(Hedef!$C$17:$C$21,Kanit!C114+1)</f>
        <v>0.5</v>
      </c>
      <c r="D114" s="8">
        <f>INDEX(Hedef!$C$17:$C$21,Kanit!D114+1)</f>
        <v>0.3</v>
      </c>
      <c r="E114" s="8">
        <f>INDEX(Hedef!$C$17:$C$21,Kanit!E114+1)</f>
        <v>0.5</v>
      </c>
      <c r="F114" s="8">
        <f>INDEX(Hedef!$C$17:$C$21,Kanit!F114+1)</f>
        <v>0.5</v>
      </c>
      <c r="G114" s="8">
        <f>INDEX(Hedef!$C$17:$C$21,Kanit!G114+1)</f>
        <v>0.3</v>
      </c>
      <c r="H114" s="8">
        <f>INDEX(Hedef!$C$17:$C$21,Kanit!H114+1)</f>
        <v>0.3</v>
      </c>
      <c r="I114" s="8">
        <f>INDEX(Hedef!$C$17:$C$21,Kanit!I114+1)</f>
        <v>0.3</v>
      </c>
      <c r="J114" s="8">
        <f>INDEX(Hedef!$C$17:$C$21,Kanit!J114+1)</f>
        <v>0.5</v>
      </c>
      <c r="K114" s="8">
        <f>INDEX(Hedef!$C$17:$C$21,Kanit!K114+1)</f>
        <v>0.3</v>
      </c>
      <c r="L114" s="8">
        <f>INDEX(Hedef!$C$17:$C$21,Kanit!L114+1)</f>
        <v>0.3</v>
      </c>
      <c r="M114" s="8">
        <f>INDEX(Hedef!$C$17:$C$21,Kanit!M114+1)</f>
        <v>0.3</v>
      </c>
      <c r="N114" s="8">
        <f>INDEX(Hedef!$C$17:$C$21,Kanit!N114+1)</f>
        <v>0.3</v>
      </c>
      <c r="O114" s="8">
        <f>INDEX(Hedef!$C$17:$C$21,Kanit!O114+1)</f>
        <v>0.3</v>
      </c>
      <c r="P114" s="8">
        <f>INDEX(Hedef!$C$17:$C$21,Kanit!P114+1)</f>
        <v>0.3</v>
      </c>
      <c r="Q114" s="8">
        <f>INDEX(Hedef!$C$17:$C$21,Kanit!Q114+1)</f>
        <v>0.3</v>
      </c>
      <c r="R114" s="8">
        <f>INDEX(Hedef!$C$17:$C$21,Kanit!R114+1)</f>
        <v>0.3</v>
      </c>
      <c r="S114" s="8">
        <f>INDEX(Hedef!$C$17:$C$21,Kanit!S114+1)</f>
        <v>0.3</v>
      </c>
      <c r="T114" s="8">
        <f>INDEX(Hedef!$C$17:$C$21,Kanit!T114+1)</f>
        <v>0.3</v>
      </c>
      <c r="U114" s="8">
        <f>INDEX(Hedef!$C$17:$C$21,Kanit!U114+1)</f>
        <v>0.3</v>
      </c>
      <c r="V114" s="8">
        <f>INDEX(Hedef!$C$17:$C$21,Kanit!V114+1)</f>
        <v>0.3</v>
      </c>
      <c r="W114" s="8">
        <f>INDEX(Hedef!$C$17:$C$21,Kanit!W114+1)</f>
        <v>0.3</v>
      </c>
      <c r="X114" s="8">
        <f>INDEX(Hedef!$C$17:$C$21,Kanit!X114+1)</f>
        <v>0.5</v>
      </c>
      <c r="Y114" s="8">
        <f>INDEX(Hedef!$C$17:$C$21,Kanit!Y114+1)</f>
        <v>0.5</v>
      </c>
      <c r="Z114" s="8">
        <f>INDEX(Hedef!$C$17:$C$21,Kanit!Z114+1)</f>
        <v>0.3</v>
      </c>
      <c r="AA114" s="8">
        <f>INDEX(Hedef!$C$17:$C$21,Kanit!AA114+1)</f>
        <v>0.3</v>
      </c>
      <c r="AB114" s="8">
        <f>INDEX(Hedef!$C$17:$C$21,Kanit!AB114+1)</f>
        <v>0.3</v>
      </c>
      <c r="AD114" s="8">
        <f>INDEX(Hedef!$C$17:$C$21,Kanit!AD114+1)</f>
        <v>0.3</v>
      </c>
      <c r="AE114" s="8">
        <f>INDEX(Hedef!$C$17:$C$21,Kanit!AE114+1)</f>
        <v>0.5</v>
      </c>
      <c r="AF114" s="8">
        <f>INDEX(Hedef!$C$17:$C$21,Kanit!AF114+1)</f>
        <v>0.3</v>
      </c>
      <c r="AG114" s="8">
        <f>INDEX(Hedef!$C$17:$C$21,Kanit!AG114+1)</f>
        <v>0.3</v>
      </c>
    </row>
    <row r="115">
      <c r="A115" s="7" t="str">
        <f>Secenekler!A115</f>
        <v>alan-adi-bulucu-b</v>
      </c>
      <c r="B115" s="7" t="str">
        <f>Secenekler!C115</f>
        <v>Ajans yıllık paketi: puanlı kısa liste ve müşteri teslim şablonu</v>
      </c>
      <c r="C115" s="8">
        <f>INDEX(Hedef!$C$17:$C$21,Kanit!C115+1)</f>
        <v>0.3</v>
      </c>
      <c r="D115" s="8">
        <f>INDEX(Hedef!$C$17:$C$21,Kanit!D115+1)</f>
        <v>0.3</v>
      </c>
      <c r="E115" s="8">
        <f>INDEX(Hedef!$C$17:$C$21,Kanit!E115+1)</f>
        <v>0.3</v>
      </c>
      <c r="F115" s="8">
        <f>INDEX(Hedef!$C$17:$C$21,Kanit!F115+1)</f>
        <v>0.3</v>
      </c>
      <c r="G115" s="8">
        <f>INDEX(Hedef!$C$17:$C$21,Kanit!G115+1)</f>
        <v>0.3</v>
      </c>
      <c r="H115" s="8">
        <f>INDEX(Hedef!$C$17:$C$21,Kanit!H115+1)</f>
        <v>0.3</v>
      </c>
      <c r="I115" s="8">
        <f>INDEX(Hedef!$C$17:$C$21,Kanit!I115+1)</f>
        <v>0.3</v>
      </c>
      <c r="J115" s="8">
        <f>INDEX(Hedef!$C$17:$C$21,Kanit!J115+1)</f>
        <v>0.3</v>
      </c>
      <c r="K115" s="8">
        <f>INDEX(Hedef!$C$17:$C$21,Kanit!K115+1)</f>
        <v>0.3</v>
      </c>
      <c r="L115" s="8">
        <f>INDEX(Hedef!$C$17:$C$21,Kanit!L115+1)</f>
        <v>0.3</v>
      </c>
      <c r="M115" s="8">
        <f>INDEX(Hedef!$C$17:$C$21,Kanit!M115+1)</f>
        <v>0.5</v>
      </c>
      <c r="N115" s="8">
        <f>INDEX(Hedef!$C$17:$C$21,Kanit!N115+1)</f>
        <v>0.3</v>
      </c>
      <c r="O115" s="8">
        <f>INDEX(Hedef!$C$17:$C$21,Kanit!O115+1)</f>
        <v>0.3</v>
      </c>
      <c r="P115" s="8">
        <f>INDEX(Hedef!$C$17:$C$21,Kanit!P115+1)</f>
        <v>0.3</v>
      </c>
      <c r="Q115" s="8">
        <f>INDEX(Hedef!$C$17:$C$21,Kanit!Q115+1)</f>
        <v>0.3</v>
      </c>
      <c r="R115" s="8">
        <f>INDEX(Hedef!$C$17:$C$21,Kanit!R115+1)</f>
        <v>0.3</v>
      </c>
      <c r="S115" s="8">
        <f>INDEX(Hedef!$C$17:$C$21,Kanit!S115+1)</f>
        <v>0.3</v>
      </c>
      <c r="T115" s="8">
        <f>INDEX(Hedef!$C$17:$C$21,Kanit!T115+1)</f>
        <v>0.3</v>
      </c>
      <c r="U115" s="8">
        <f>INDEX(Hedef!$C$17:$C$21,Kanit!U115+1)</f>
        <v>0.3</v>
      </c>
      <c r="V115" s="8">
        <f>INDEX(Hedef!$C$17:$C$21,Kanit!V115+1)</f>
        <v>0.3</v>
      </c>
      <c r="W115" s="8">
        <f>INDEX(Hedef!$C$17:$C$21,Kanit!W115+1)</f>
        <v>0.3</v>
      </c>
      <c r="X115" s="8">
        <f>INDEX(Hedef!$C$17:$C$21,Kanit!X115+1)</f>
        <v>0.3</v>
      </c>
      <c r="Y115" s="8">
        <f>INDEX(Hedef!$C$17:$C$21,Kanit!Y115+1)</f>
        <v>0.5</v>
      </c>
      <c r="Z115" s="8">
        <f>INDEX(Hedef!$C$17:$C$21,Kanit!Z115+1)</f>
        <v>0.3</v>
      </c>
      <c r="AA115" s="8">
        <f>INDEX(Hedef!$C$17:$C$21,Kanit!AA115+1)</f>
        <v>0.3</v>
      </c>
      <c r="AB115" s="8">
        <f>INDEX(Hedef!$C$17:$C$21,Kanit!AB115+1)</f>
        <v>0.3</v>
      </c>
      <c r="AD115" s="8">
        <f>INDEX(Hedef!$C$17:$C$21,Kanit!AD115+1)</f>
        <v>0.3</v>
      </c>
      <c r="AE115" s="8">
        <f>INDEX(Hedef!$C$17:$C$21,Kanit!AE115+1)</f>
        <v>0.5</v>
      </c>
      <c r="AF115" s="8">
        <f>INDEX(Hedef!$C$17:$C$21,Kanit!AF115+1)</f>
        <v>0.3</v>
      </c>
      <c r="AG115" s="8">
        <f>INDEX(Hedef!$C$17:$C$21,Kanit!AG115+1)</f>
        <v>0.3</v>
      </c>
    </row>
    <row r="116">
      <c r="A116" s="7" t="str">
        <f>Secenekler!A116</f>
        <v>alan-adi-bulucu-c</v>
      </c>
      <c r="B116" s="7" t="str">
        <f>Secenekler!C116</f>
        <v>Elle teslim: 10 adaylık güncel boş .com karar dosyası</v>
      </c>
      <c r="C116" s="8">
        <f>INDEX(Hedef!$C$17:$C$21,Kanit!C116+1)</f>
        <v>0.5</v>
      </c>
      <c r="D116" s="8">
        <f>INDEX(Hedef!$C$17:$C$21,Kanit!D116+1)</f>
        <v>0.3</v>
      </c>
      <c r="E116" s="8">
        <f>INDEX(Hedef!$C$17:$C$21,Kanit!E116+1)</f>
        <v>0.5</v>
      </c>
      <c r="F116" s="8">
        <f>INDEX(Hedef!$C$17:$C$21,Kanit!F116+1)</f>
        <v>0.5</v>
      </c>
      <c r="G116" s="8">
        <f>INDEX(Hedef!$C$17:$C$21,Kanit!G116+1)</f>
        <v>0.3</v>
      </c>
      <c r="H116" s="8">
        <f>INDEX(Hedef!$C$17:$C$21,Kanit!H116+1)</f>
        <v>0.3</v>
      </c>
      <c r="I116" s="8">
        <f>INDEX(Hedef!$C$17:$C$21,Kanit!I116+1)</f>
        <v>0.3</v>
      </c>
      <c r="J116" s="8">
        <f>INDEX(Hedef!$C$17:$C$21,Kanit!J116+1)</f>
        <v>0.3</v>
      </c>
      <c r="K116" s="8">
        <f>INDEX(Hedef!$C$17:$C$21,Kanit!K116+1)</f>
        <v>0.3</v>
      </c>
      <c r="L116" s="8">
        <f>INDEX(Hedef!$C$17:$C$21,Kanit!L116+1)</f>
        <v>0.3</v>
      </c>
      <c r="M116" s="8">
        <f>INDEX(Hedef!$C$17:$C$21,Kanit!M116+1)</f>
        <v>0.3</v>
      </c>
      <c r="N116" s="8">
        <f>INDEX(Hedef!$C$17:$C$21,Kanit!N116+1)</f>
        <v>0.3</v>
      </c>
      <c r="O116" s="8">
        <f>INDEX(Hedef!$C$17:$C$21,Kanit!O116+1)</f>
        <v>0.3</v>
      </c>
      <c r="P116" s="8">
        <f>INDEX(Hedef!$C$17:$C$21,Kanit!P116+1)</f>
        <v>0.3</v>
      </c>
      <c r="Q116" s="8">
        <f>INDEX(Hedef!$C$17:$C$21,Kanit!Q116+1)</f>
        <v>0.3</v>
      </c>
      <c r="R116" s="8">
        <f>INDEX(Hedef!$C$17:$C$21,Kanit!R116+1)</f>
        <v>0.3</v>
      </c>
      <c r="S116" s="8">
        <f>INDEX(Hedef!$C$17:$C$21,Kanit!S116+1)</f>
        <v>0.3</v>
      </c>
      <c r="T116" s="8">
        <f>INDEX(Hedef!$C$17:$C$21,Kanit!T116+1)</f>
        <v>0.3</v>
      </c>
      <c r="U116" s="8">
        <f>INDEX(Hedef!$C$17:$C$21,Kanit!U116+1)</f>
        <v>0.3</v>
      </c>
      <c r="V116" s="8">
        <f>INDEX(Hedef!$C$17:$C$21,Kanit!V116+1)</f>
        <v>0.3</v>
      </c>
      <c r="W116" s="8">
        <f>INDEX(Hedef!$C$17:$C$21,Kanit!W116+1)</f>
        <v>0.3</v>
      </c>
      <c r="X116" s="8">
        <f>INDEX(Hedef!$C$17:$C$21,Kanit!X116+1)</f>
        <v>0.5</v>
      </c>
      <c r="Y116" s="8">
        <f>INDEX(Hedef!$C$17:$C$21,Kanit!Y116+1)</f>
        <v>0.5</v>
      </c>
      <c r="Z116" s="8">
        <f>INDEX(Hedef!$C$17:$C$21,Kanit!Z116+1)</f>
        <v>0.3</v>
      </c>
      <c r="AA116" s="8">
        <f>INDEX(Hedef!$C$17:$C$21,Kanit!AA116+1)</f>
        <v>0.3</v>
      </c>
      <c r="AB116" s="8">
        <f>INDEX(Hedef!$C$17:$C$21,Kanit!AB116+1)</f>
        <v>0.3</v>
      </c>
      <c r="AD116" s="8">
        <f>INDEX(Hedef!$C$17:$C$21,Kanit!AD116+1)</f>
        <v>0.3</v>
      </c>
      <c r="AE116" s="8">
        <f>INDEX(Hedef!$C$17:$C$21,Kanit!AE116+1)</f>
        <v>0.3</v>
      </c>
      <c r="AF116" s="8">
        <f>INDEX(Hedef!$C$17:$C$21,Kanit!AF116+1)</f>
        <v>0.3</v>
      </c>
      <c r="AG116" s="8">
        <f>INDEX(Hedef!$C$17:$C$21,Kanit!AG116+1)</f>
        <v>0.3</v>
      </c>
    </row>
    <row r="117">
      <c r="A117" s="7" t="str">
        <f>Secenekler!A117</f>
        <v>projector-a</v>
      </c>
      <c r="B117" s="7" t="str">
        <f>Secenekler!C117</f>
        <v>Türkçe SaaS mimarisi e-kitabı ön satışı</v>
      </c>
      <c r="C117" s="8">
        <f>INDEX(Hedef!$C$17:$C$21,Kanit!C117+1)</f>
        <v>0.3</v>
      </c>
      <c r="D117" s="8">
        <f>INDEX(Hedef!$C$17:$C$21,Kanit!D117+1)</f>
        <v>0.3</v>
      </c>
      <c r="E117" s="8">
        <f>INDEX(Hedef!$C$17:$C$21,Kanit!E117+1)</f>
        <v>0.5</v>
      </c>
      <c r="F117" s="8">
        <f>INDEX(Hedef!$C$17:$C$21,Kanit!F117+1)</f>
        <v>0.5</v>
      </c>
      <c r="G117" s="8">
        <f>INDEX(Hedef!$C$17:$C$21,Kanit!G117+1)</f>
        <v>0.3</v>
      </c>
      <c r="H117" s="8">
        <f>INDEX(Hedef!$C$17:$C$21,Kanit!H117+1)</f>
        <v>0.5</v>
      </c>
      <c r="I117" s="8">
        <f>INDEX(Hedef!$C$17:$C$21,Kanit!I117+1)</f>
        <v>0.3</v>
      </c>
      <c r="J117" s="8">
        <f>INDEX(Hedef!$C$17:$C$21,Kanit!J117+1)</f>
        <v>0.3</v>
      </c>
      <c r="K117" s="8">
        <f>INDEX(Hedef!$C$17:$C$21,Kanit!K117+1)</f>
        <v>0.3</v>
      </c>
      <c r="L117" s="8">
        <f>INDEX(Hedef!$C$17:$C$21,Kanit!L117+1)</f>
        <v>0.3</v>
      </c>
      <c r="M117" s="8">
        <f>INDEX(Hedef!$C$17:$C$21,Kanit!M117+1)</f>
        <v>0.5</v>
      </c>
      <c r="N117" s="8">
        <f>INDEX(Hedef!$C$17:$C$21,Kanit!N117+1)</f>
        <v>0.3</v>
      </c>
      <c r="O117" s="8">
        <f>INDEX(Hedef!$C$17:$C$21,Kanit!O117+1)</f>
        <v>0.3</v>
      </c>
      <c r="P117" s="8">
        <f>INDEX(Hedef!$C$17:$C$21,Kanit!P117+1)</f>
        <v>0.3</v>
      </c>
      <c r="Q117" s="8">
        <f>INDEX(Hedef!$C$17:$C$21,Kanit!Q117+1)</f>
        <v>0.3</v>
      </c>
      <c r="R117" s="8">
        <f>INDEX(Hedef!$C$17:$C$21,Kanit!R117+1)</f>
        <v>0.5</v>
      </c>
      <c r="S117" s="8">
        <f>INDEX(Hedef!$C$17:$C$21,Kanit!S117+1)</f>
        <v>0.3</v>
      </c>
      <c r="T117" s="8">
        <f>INDEX(Hedef!$C$17:$C$21,Kanit!T117+1)</f>
        <v>0.5</v>
      </c>
      <c r="U117" s="8">
        <f>INDEX(Hedef!$C$17:$C$21,Kanit!U117+1)</f>
        <v>0.5</v>
      </c>
      <c r="V117" s="8">
        <f>INDEX(Hedef!$C$17:$C$21,Kanit!V117+1)</f>
        <v>0.3</v>
      </c>
      <c r="W117" s="8">
        <f>INDEX(Hedef!$C$17:$C$21,Kanit!W117+1)</f>
        <v>0.3</v>
      </c>
      <c r="X117" s="8">
        <f>INDEX(Hedef!$C$17:$C$21,Kanit!X117+1)</f>
        <v>0.5</v>
      </c>
      <c r="Y117" s="8">
        <f>INDEX(Hedef!$C$17:$C$21,Kanit!Y117+1)</f>
        <v>0.5</v>
      </c>
      <c r="Z117" s="8">
        <f>INDEX(Hedef!$C$17:$C$21,Kanit!Z117+1)</f>
        <v>0.3</v>
      </c>
      <c r="AA117" s="8">
        <f>INDEX(Hedef!$C$17:$C$21,Kanit!AA117+1)</f>
        <v>0.3</v>
      </c>
      <c r="AB117" s="8">
        <f>INDEX(Hedef!$C$17:$C$21,Kanit!AB117+1)</f>
        <v>0.3</v>
      </c>
      <c r="AD117" s="8">
        <f>INDEX(Hedef!$C$17:$C$21,Kanit!AD117+1)</f>
        <v>0.5</v>
      </c>
      <c r="AE117" s="8">
        <f>INDEX(Hedef!$C$17:$C$21,Kanit!AE117+1)</f>
        <v>0.5</v>
      </c>
      <c r="AF117" s="8">
        <f>INDEX(Hedef!$C$17:$C$21,Kanit!AF117+1)</f>
        <v>0.3</v>
      </c>
      <c r="AG117" s="8">
        <f>INDEX(Hedef!$C$17:$C$21,Kanit!AG117+1)</f>
        <v>0.3</v>
      </c>
    </row>
    <row r="118">
      <c r="A118" s="7" t="str">
        <f>Secenekler!A118</f>
        <v>projector-b</v>
      </c>
      <c r="B118" s="7" t="str">
        <f>Secenekler!C118</f>
        <v>İki günlük ekip atölyesi: Kurumsal SaaS mimarisi</v>
      </c>
      <c r="C118" s="8">
        <f>INDEX(Hedef!$C$17:$C$21,Kanit!C118+1)</f>
        <v>0.3</v>
      </c>
      <c r="D118" s="8">
        <f>INDEX(Hedef!$C$17:$C$21,Kanit!D118+1)</f>
        <v>0.3</v>
      </c>
      <c r="E118" s="8">
        <f>INDEX(Hedef!$C$17:$C$21,Kanit!E118+1)</f>
        <v>0.3</v>
      </c>
      <c r="F118" s="8">
        <f>INDEX(Hedef!$C$17:$C$21,Kanit!F118+1)</f>
        <v>0.3</v>
      </c>
      <c r="G118" s="8">
        <f>INDEX(Hedef!$C$17:$C$21,Kanit!G118+1)</f>
        <v>0.3</v>
      </c>
      <c r="H118" s="8">
        <f>INDEX(Hedef!$C$17:$C$21,Kanit!H118+1)</f>
        <v>0.3</v>
      </c>
      <c r="I118" s="8">
        <f>INDEX(Hedef!$C$17:$C$21,Kanit!I118+1)</f>
        <v>0.5</v>
      </c>
      <c r="J118" s="8">
        <f>INDEX(Hedef!$C$17:$C$21,Kanit!J118+1)</f>
        <v>0.3</v>
      </c>
      <c r="K118" s="8">
        <f>INDEX(Hedef!$C$17:$C$21,Kanit!K118+1)</f>
        <v>0.3</v>
      </c>
      <c r="L118" s="8">
        <f>INDEX(Hedef!$C$17:$C$21,Kanit!L118+1)</f>
        <v>0.3</v>
      </c>
      <c r="M118" s="8">
        <f>INDEX(Hedef!$C$17:$C$21,Kanit!M118+1)</f>
        <v>0.3</v>
      </c>
      <c r="N118" s="8">
        <f>INDEX(Hedef!$C$17:$C$21,Kanit!N118+1)</f>
        <v>0.3</v>
      </c>
      <c r="O118" s="8">
        <f>INDEX(Hedef!$C$17:$C$21,Kanit!O118+1)</f>
        <v>0.3</v>
      </c>
      <c r="P118" s="8">
        <f>INDEX(Hedef!$C$17:$C$21,Kanit!P118+1)</f>
        <v>0.3</v>
      </c>
      <c r="Q118" s="8">
        <f>INDEX(Hedef!$C$17:$C$21,Kanit!Q118+1)</f>
        <v>0.3</v>
      </c>
      <c r="R118" s="8">
        <f>INDEX(Hedef!$C$17:$C$21,Kanit!R118+1)</f>
        <v>0.3</v>
      </c>
      <c r="S118" s="8">
        <f>INDEX(Hedef!$C$17:$C$21,Kanit!S118+1)</f>
        <v>0.3</v>
      </c>
      <c r="T118" s="8">
        <f>INDEX(Hedef!$C$17:$C$21,Kanit!T118+1)</f>
        <v>0.3</v>
      </c>
      <c r="U118" s="8">
        <f>INDEX(Hedef!$C$17:$C$21,Kanit!U118+1)</f>
        <v>0.5</v>
      </c>
      <c r="V118" s="8">
        <f>INDEX(Hedef!$C$17:$C$21,Kanit!V118+1)</f>
        <v>0.3</v>
      </c>
      <c r="W118" s="8">
        <f>INDEX(Hedef!$C$17:$C$21,Kanit!W118+1)</f>
        <v>0.3</v>
      </c>
      <c r="X118" s="8">
        <f>INDEX(Hedef!$C$17:$C$21,Kanit!X118+1)</f>
        <v>0.5</v>
      </c>
      <c r="Y118" s="8">
        <f>INDEX(Hedef!$C$17:$C$21,Kanit!Y118+1)</f>
        <v>0.3</v>
      </c>
      <c r="Z118" s="8">
        <f>INDEX(Hedef!$C$17:$C$21,Kanit!Z118+1)</f>
        <v>0.3</v>
      </c>
      <c r="AA118" s="8">
        <f>INDEX(Hedef!$C$17:$C$21,Kanit!AA118+1)</f>
        <v>0.3</v>
      </c>
      <c r="AB118" s="8">
        <f>INDEX(Hedef!$C$17:$C$21,Kanit!AB118+1)</f>
        <v>0.3</v>
      </c>
      <c r="AD118" s="8">
        <f>INDEX(Hedef!$C$17:$C$21,Kanit!AD118+1)</f>
        <v>0.3</v>
      </c>
      <c r="AE118" s="8">
        <f>INDEX(Hedef!$C$17:$C$21,Kanit!AE118+1)</f>
        <v>0.3</v>
      </c>
      <c r="AF118" s="8">
        <f>INDEX(Hedef!$C$17:$C$21,Kanit!AF118+1)</f>
        <v>0.3</v>
      </c>
      <c r="AG118" s="8">
        <f>INDEX(Hedef!$C$17:$C$21,Kanit!AG118+1)</f>
        <v>0.3</v>
      </c>
    </row>
    <row r="119">
      <c r="A119" s="7" t="str">
        <f>Secenekler!A119</f>
        <v>projector-c</v>
      </c>
      <c r="B119" s="7" t="str">
        <f>Secenekler!C119</f>
        <v>Kaynaklı teslim portalı: 30 dokümanlık migration pilotu</v>
      </c>
      <c r="C119" s="8">
        <f>INDEX(Hedef!$C$17:$C$21,Kanit!C119+1)</f>
        <v>0.3</v>
      </c>
      <c r="D119" s="8">
        <f>INDEX(Hedef!$C$17:$C$21,Kanit!D119+1)</f>
        <v>0.3</v>
      </c>
      <c r="E119" s="8">
        <f>INDEX(Hedef!$C$17:$C$21,Kanit!E119+1)</f>
        <v>0.5</v>
      </c>
      <c r="F119" s="8">
        <f>INDEX(Hedef!$C$17:$C$21,Kanit!F119+1)</f>
        <v>0.5</v>
      </c>
      <c r="G119" s="8">
        <f>INDEX(Hedef!$C$17:$C$21,Kanit!G119+1)</f>
        <v>0.3</v>
      </c>
      <c r="H119" s="8">
        <f>INDEX(Hedef!$C$17:$C$21,Kanit!H119+1)</f>
        <v>0.3</v>
      </c>
      <c r="I119" s="8">
        <f>INDEX(Hedef!$C$17:$C$21,Kanit!I119+1)</f>
        <v>0.3</v>
      </c>
      <c r="J119" s="8">
        <f>INDEX(Hedef!$C$17:$C$21,Kanit!J119+1)</f>
        <v>0.3</v>
      </c>
      <c r="K119" s="8">
        <f>INDEX(Hedef!$C$17:$C$21,Kanit!K119+1)</f>
        <v>0.3</v>
      </c>
      <c r="L119" s="8">
        <f>INDEX(Hedef!$C$17:$C$21,Kanit!L119+1)</f>
        <v>0.3</v>
      </c>
      <c r="M119" s="8">
        <f>INDEX(Hedef!$C$17:$C$21,Kanit!M119+1)</f>
        <v>0.3</v>
      </c>
      <c r="N119" s="8">
        <f>INDEX(Hedef!$C$17:$C$21,Kanit!N119+1)</f>
        <v>0.3</v>
      </c>
      <c r="O119" s="8">
        <f>INDEX(Hedef!$C$17:$C$21,Kanit!O119+1)</f>
        <v>0.3</v>
      </c>
      <c r="P119" s="8">
        <f>INDEX(Hedef!$C$17:$C$21,Kanit!P119+1)</f>
        <v>0.3</v>
      </c>
      <c r="Q119" s="8">
        <f>INDEX(Hedef!$C$17:$C$21,Kanit!Q119+1)</f>
        <v>0.3</v>
      </c>
      <c r="R119" s="8">
        <f>INDEX(Hedef!$C$17:$C$21,Kanit!R119+1)</f>
        <v>0.3</v>
      </c>
      <c r="S119" s="8">
        <f>INDEX(Hedef!$C$17:$C$21,Kanit!S119+1)</f>
        <v>0.3</v>
      </c>
      <c r="T119" s="8">
        <f>INDEX(Hedef!$C$17:$C$21,Kanit!T119+1)</f>
        <v>0.3</v>
      </c>
      <c r="U119" s="8">
        <f>INDEX(Hedef!$C$17:$C$21,Kanit!U119+1)</f>
        <v>0.3</v>
      </c>
      <c r="V119" s="8">
        <f>INDEX(Hedef!$C$17:$C$21,Kanit!V119+1)</f>
        <v>0.3</v>
      </c>
      <c r="W119" s="8">
        <f>INDEX(Hedef!$C$17:$C$21,Kanit!W119+1)</f>
        <v>0.3</v>
      </c>
      <c r="X119" s="8">
        <f>INDEX(Hedef!$C$17:$C$21,Kanit!X119+1)</f>
        <v>0.3</v>
      </c>
      <c r="Y119" s="8">
        <f>INDEX(Hedef!$C$17:$C$21,Kanit!Y119+1)</f>
        <v>0.5</v>
      </c>
      <c r="Z119" s="8">
        <f>INDEX(Hedef!$C$17:$C$21,Kanit!Z119+1)</f>
        <v>0.3</v>
      </c>
      <c r="AA119" s="8">
        <f>INDEX(Hedef!$C$17:$C$21,Kanit!AA119+1)</f>
        <v>0.3</v>
      </c>
      <c r="AB119" s="8">
        <f>INDEX(Hedef!$C$17:$C$21,Kanit!AB119+1)</f>
        <v>0.3</v>
      </c>
      <c r="AD119" s="8">
        <f>INDEX(Hedef!$C$17:$C$21,Kanit!AD119+1)</f>
        <v>0.3</v>
      </c>
      <c r="AE119" s="8">
        <f>INDEX(Hedef!$C$17:$C$21,Kanit!AE119+1)</f>
        <v>0.5</v>
      </c>
      <c r="AF119" s="8">
        <f>INDEX(Hedef!$C$17:$C$21,Kanit!AF119+1)</f>
        <v>0.3</v>
      </c>
      <c r="AG119" s="8">
        <f>INDEX(Hedef!$C$17:$C$21,Kanit!AG119+1)</f>
        <v>0.3</v>
      </c>
    </row>
    <row r="120">
      <c r="A120" s="7" t="str">
        <f>Secenekler!A120</f>
        <v>kurucu-pusulasi-a</v>
      </c>
      <c r="B120" s="7" t="str">
        <f>Secenekler!C120</f>
        <v>Kurucu Pusulası şablonu, bireysel satış</v>
      </c>
      <c r="C120" s="8">
        <f>INDEX(Hedef!$C$17:$C$21,Kanit!C120+1)</f>
        <v>0.3</v>
      </c>
      <c r="D120" s="8">
        <f>INDEX(Hedef!$C$17:$C$21,Kanit!D120+1)</f>
        <v>0.3</v>
      </c>
      <c r="E120" s="8">
        <f>INDEX(Hedef!$C$17:$C$21,Kanit!E120+1)</f>
        <v>0.5</v>
      </c>
      <c r="F120" s="8">
        <f>INDEX(Hedef!$C$17:$C$21,Kanit!F120+1)</f>
        <v>0.5</v>
      </c>
      <c r="G120" s="8">
        <f>INDEX(Hedef!$C$17:$C$21,Kanit!G120+1)</f>
        <v>0.3</v>
      </c>
      <c r="H120" s="8">
        <f>INDEX(Hedef!$C$17:$C$21,Kanit!H120+1)</f>
        <v>0.5</v>
      </c>
      <c r="I120" s="8">
        <f>INDEX(Hedef!$C$17:$C$21,Kanit!I120+1)</f>
        <v>0.3</v>
      </c>
      <c r="J120" s="8">
        <f>INDEX(Hedef!$C$17:$C$21,Kanit!J120+1)</f>
        <v>0.5</v>
      </c>
      <c r="K120" s="8">
        <f>INDEX(Hedef!$C$17:$C$21,Kanit!K120+1)</f>
        <v>0.3</v>
      </c>
      <c r="L120" s="8">
        <f>INDEX(Hedef!$C$17:$C$21,Kanit!L120+1)</f>
        <v>0.3</v>
      </c>
      <c r="M120" s="8">
        <f>INDEX(Hedef!$C$17:$C$21,Kanit!M120+1)</f>
        <v>0.3</v>
      </c>
      <c r="N120" s="8">
        <f>INDEX(Hedef!$C$17:$C$21,Kanit!N120+1)</f>
        <v>0.3</v>
      </c>
      <c r="O120" s="8">
        <f>INDEX(Hedef!$C$17:$C$21,Kanit!O120+1)</f>
        <v>0.3</v>
      </c>
      <c r="P120" s="8">
        <f>INDEX(Hedef!$C$17:$C$21,Kanit!P120+1)</f>
        <v>0.5</v>
      </c>
      <c r="Q120" s="8">
        <f>INDEX(Hedef!$C$17:$C$21,Kanit!Q120+1)</f>
        <v>0.3</v>
      </c>
      <c r="R120" s="8">
        <f>INDEX(Hedef!$C$17:$C$21,Kanit!R120+1)</f>
        <v>0.3</v>
      </c>
      <c r="S120" s="8">
        <f>INDEX(Hedef!$C$17:$C$21,Kanit!S120+1)</f>
        <v>0.3</v>
      </c>
      <c r="T120" s="8">
        <f>INDEX(Hedef!$C$17:$C$21,Kanit!T120+1)</f>
        <v>0.5</v>
      </c>
      <c r="U120" s="8">
        <f>INDEX(Hedef!$C$17:$C$21,Kanit!U120+1)</f>
        <v>0.5</v>
      </c>
      <c r="V120" s="8">
        <f>INDEX(Hedef!$C$17:$C$21,Kanit!V120+1)</f>
        <v>0.3</v>
      </c>
      <c r="W120" s="8">
        <f>INDEX(Hedef!$C$17:$C$21,Kanit!W120+1)</f>
        <v>0.3</v>
      </c>
      <c r="X120" s="8">
        <f>INDEX(Hedef!$C$17:$C$21,Kanit!X120+1)</f>
        <v>0.5</v>
      </c>
      <c r="Y120" s="8">
        <f>INDEX(Hedef!$C$17:$C$21,Kanit!Y120+1)</f>
        <v>0.5</v>
      </c>
      <c r="Z120" s="8">
        <f>INDEX(Hedef!$C$17:$C$21,Kanit!Z120+1)</f>
        <v>0.3</v>
      </c>
      <c r="AA120" s="8">
        <f>INDEX(Hedef!$C$17:$C$21,Kanit!AA120+1)</f>
        <v>0.3</v>
      </c>
      <c r="AB120" s="8">
        <f>INDEX(Hedef!$C$17:$C$21,Kanit!AB120+1)</f>
        <v>0.3</v>
      </c>
      <c r="AD120" s="8">
        <f>INDEX(Hedef!$C$17:$C$21,Kanit!AD120+1)</f>
        <v>0.3</v>
      </c>
      <c r="AE120" s="8">
        <f>INDEX(Hedef!$C$17:$C$21,Kanit!AE120+1)</f>
        <v>0.5</v>
      </c>
      <c r="AF120" s="8">
        <f>INDEX(Hedef!$C$17:$C$21,Kanit!AF120+1)</f>
        <v>0.3</v>
      </c>
      <c r="AG120" s="8">
        <f>INDEX(Hedef!$C$17:$C$21,Kanit!AG120+1)</f>
        <v>0.3</v>
      </c>
    </row>
    <row r="121">
      <c r="A121" s="7" t="str">
        <f>Secenekler!A121</f>
        <v>kurucu-pusulasi-b</v>
      </c>
      <c r="B121" s="7" t="str">
        <f>Secenekler!C121</f>
        <v>Mentor sürümü, kuluçka programlarına kurum lisansı</v>
      </c>
      <c r="C121" s="8">
        <f>INDEX(Hedef!$C$17:$C$21,Kanit!C121+1)</f>
        <v>0.3</v>
      </c>
      <c r="D121" s="8">
        <f>INDEX(Hedef!$C$17:$C$21,Kanit!D121+1)</f>
        <v>0.3</v>
      </c>
      <c r="E121" s="8">
        <f>INDEX(Hedef!$C$17:$C$21,Kanit!E121+1)</f>
        <v>0.3</v>
      </c>
      <c r="F121" s="8">
        <f>INDEX(Hedef!$C$17:$C$21,Kanit!F121+1)</f>
        <v>0.3</v>
      </c>
      <c r="G121" s="8">
        <f>INDEX(Hedef!$C$17:$C$21,Kanit!G121+1)</f>
        <v>0.3</v>
      </c>
      <c r="H121" s="8">
        <f>INDEX(Hedef!$C$17:$C$21,Kanit!H121+1)</f>
        <v>0.3</v>
      </c>
      <c r="I121" s="8">
        <f>INDEX(Hedef!$C$17:$C$21,Kanit!I121+1)</f>
        <v>0.3</v>
      </c>
      <c r="J121" s="8">
        <f>INDEX(Hedef!$C$17:$C$21,Kanit!J121+1)</f>
        <v>0.3</v>
      </c>
      <c r="K121" s="8">
        <f>INDEX(Hedef!$C$17:$C$21,Kanit!K121+1)</f>
        <v>0.3</v>
      </c>
      <c r="L121" s="8">
        <f>INDEX(Hedef!$C$17:$C$21,Kanit!L121+1)</f>
        <v>0.3</v>
      </c>
      <c r="M121" s="8">
        <f>INDEX(Hedef!$C$17:$C$21,Kanit!M121+1)</f>
        <v>0.3</v>
      </c>
      <c r="N121" s="8">
        <f>INDEX(Hedef!$C$17:$C$21,Kanit!N121+1)</f>
        <v>0.3</v>
      </c>
      <c r="O121" s="8">
        <f>INDEX(Hedef!$C$17:$C$21,Kanit!O121+1)</f>
        <v>0.3</v>
      </c>
      <c r="P121" s="8">
        <f>INDEX(Hedef!$C$17:$C$21,Kanit!P121+1)</f>
        <v>0.3</v>
      </c>
      <c r="Q121" s="8">
        <f>INDEX(Hedef!$C$17:$C$21,Kanit!Q121+1)</f>
        <v>0.3</v>
      </c>
      <c r="R121" s="8">
        <f>INDEX(Hedef!$C$17:$C$21,Kanit!R121+1)</f>
        <v>0.3</v>
      </c>
      <c r="S121" s="8">
        <f>INDEX(Hedef!$C$17:$C$21,Kanit!S121+1)</f>
        <v>0.3</v>
      </c>
      <c r="T121" s="8">
        <f>INDEX(Hedef!$C$17:$C$21,Kanit!T121+1)</f>
        <v>0.3</v>
      </c>
      <c r="U121" s="8">
        <f>INDEX(Hedef!$C$17:$C$21,Kanit!U121+1)</f>
        <v>0.5</v>
      </c>
      <c r="V121" s="8">
        <f>INDEX(Hedef!$C$17:$C$21,Kanit!V121+1)</f>
        <v>0.3</v>
      </c>
      <c r="W121" s="8">
        <f>INDEX(Hedef!$C$17:$C$21,Kanit!W121+1)</f>
        <v>0.3</v>
      </c>
      <c r="X121" s="8">
        <f>INDEX(Hedef!$C$17:$C$21,Kanit!X121+1)</f>
        <v>0.3</v>
      </c>
      <c r="Y121" s="8">
        <f>INDEX(Hedef!$C$17:$C$21,Kanit!Y121+1)</f>
        <v>0.3</v>
      </c>
      <c r="Z121" s="8">
        <f>INDEX(Hedef!$C$17:$C$21,Kanit!Z121+1)</f>
        <v>0.3</v>
      </c>
      <c r="AA121" s="8">
        <f>INDEX(Hedef!$C$17:$C$21,Kanit!AA121+1)</f>
        <v>0.3</v>
      </c>
      <c r="AB121" s="8">
        <f>INDEX(Hedef!$C$17:$C$21,Kanit!AB121+1)</f>
        <v>0.3</v>
      </c>
      <c r="AD121" s="8">
        <f>INDEX(Hedef!$C$17:$C$21,Kanit!AD121+1)</f>
        <v>0.3</v>
      </c>
      <c r="AE121" s="8">
        <f>INDEX(Hedef!$C$17:$C$21,Kanit!AE121+1)</f>
        <v>0.3</v>
      </c>
      <c r="AF121" s="8">
        <f>INDEX(Hedef!$C$17:$C$21,Kanit!AF121+1)</f>
        <v>0.3</v>
      </c>
      <c r="AG121" s="8">
        <f>INDEX(Hedef!$C$17:$C$21,Kanit!AG121+1)</f>
        <v>0.3</v>
      </c>
    </row>
    <row r="122">
      <c r="A122" s="7" t="str">
        <f>Secenekler!A122</f>
        <v>kurucu-pusulasi-c</v>
      </c>
      <c r="B122" s="7" t="str">
        <f>Secenekler!C122</f>
        <v>Kitap Atlası, çevirmen künyeli ortaklık sitesi</v>
      </c>
      <c r="C122" s="8">
        <f>INDEX(Hedef!$C$17:$C$21,Kanit!C122+1)</f>
        <v>0.5</v>
      </c>
      <c r="D122" s="8">
        <f>INDEX(Hedef!$C$17:$C$21,Kanit!D122+1)</f>
        <v>0.3</v>
      </c>
      <c r="E122" s="8">
        <f>INDEX(Hedef!$C$17:$C$21,Kanit!E122+1)</f>
        <v>0.5</v>
      </c>
      <c r="F122" s="8">
        <f>INDEX(Hedef!$C$17:$C$21,Kanit!F122+1)</f>
        <v>0.5</v>
      </c>
      <c r="G122" s="8">
        <f>INDEX(Hedef!$C$17:$C$21,Kanit!G122+1)</f>
        <v>0.3</v>
      </c>
      <c r="H122" s="8">
        <f>INDEX(Hedef!$C$17:$C$21,Kanit!H122+1)</f>
        <v>0.3</v>
      </c>
      <c r="I122" s="8">
        <f>INDEX(Hedef!$C$17:$C$21,Kanit!I122+1)</f>
        <v>0.3</v>
      </c>
      <c r="J122" s="8">
        <f>INDEX(Hedef!$C$17:$C$21,Kanit!J122+1)</f>
        <v>0.3</v>
      </c>
      <c r="K122" s="8">
        <f>INDEX(Hedef!$C$17:$C$21,Kanit!K122+1)</f>
        <v>0.3</v>
      </c>
      <c r="L122" s="8">
        <f>INDEX(Hedef!$C$17:$C$21,Kanit!L122+1)</f>
        <v>0.3</v>
      </c>
      <c r="M122" s="8">
        <f>INDEX(Hedef!$C$17:$C$21,Kanit!M122+1)</f>
        <v>0.3</v>
      </c>
      <c r="N122" s="8">
        <f>INDEX(Hedef!$C$17:$C$21,Kanit!N122+1)</f>
        <v>0.3</v>
      </c>
      <c r="O122" s="8">
        <f>INDEX(Hedef!$C$17:$C$21,Kanit!O122+1)</f>
        <v>0.3</v>
      </c>
      <c r="P122" s="8">
        <f>INDEX(Hedef!$C$17:$C$21,Kanit!P122+1)</f>
        <v>0.5</v>
      </c>
      <c r="Q122" s="8">
        <f>INDEX(Hedef!$C$17:$C$21,Kanit!Q122+1)</f>
        <v>0.3</v>
      </c>
      <c r="R122" s="8">
        <f>INDEX(Hedef!$C$17:$C$21,Kanit!R122+1)</f>
        <v>0.5</v>
      </c>
      <c r="S122" s="8">
        <f>INDEX(Hedef!$C$17:$C$21,Kanit!S122+1)</f>
        <v>0.5</v>
      </c>
      <c r="T122" s="8">
        <f>INDEX(Hedef!$C$17:$C$21,Kanit!T122+1)</f>
        <v>0.3</v>
      </c>
      <c r="U122" s="8">
        <f>INDEX(Hedef!$C$17:$C$21,Kanit!U122+1)</f>
        <v>0.5</v>
      </c>
      <c r="V122" s="8">
        <f>INDEX(Hedef!$C$17:$C$21,Kanit!V122+1)</f>
        <v>0.3</v>
      </c>
      <c r="W122" s="8">
        <f>INDEX(Hedef!$C$17:$C$21,Kanit!W122+1)</f>
        <v>0.3</v>
      </c>
      <c r="X122" s="8">
        <f>INDEX(Hedef!$C$17:$C$21,Kanit!X122+1)</f>
        <v>0.5</v>
      </c>
      <c r="Y122" s="8">
        <f>INDEX(Hedef!$C$17:$C$21,Kanit!Y122+1)</f>
        <v>0.5</v>
      </c>
      <c r="Z122" s="8">
        <f>INDEX(Hedef!$C$17:$C$21,Kanit!Z122+1)</f>
        <v>0.3</v>
      </c>
      <c r="AA122" s="8">
        <f>INDEX(Hedef!$C$17:$C$21,Kanit!AA122+1)</f>
        <v>0.3</v>
      </c>
      <c r="AB122" s="8">
        <f>INDEX(Hedef!$C$17:$C$21,Kanit!AB122+1)</f>
        <v>0.5</v>
      </c>
      <c r="AD122" s="8">
        <f>INDEX(Hedef!$C$17:$C$21,Kanit!AD122+1)</f>
        <v>0.5</v>
      </c>
      <c r="AE122" s="8">
        <f>INDEX(Hedef!$C$17:$C$21,Kanit!AE122+1)</f>
        <v>0.3</v>
      </c>
      <c r="AF122" s="8">
        <f>INDEX(Hedef!$C$17:$C$21,Kanit!AF122+1)</f>
        <v>0.3</v>
      </c>
      <c r="AG122" s="8">
        <f>INDEX(Hedef!$C$17:$C$21,Kanit!AG122+1)</f>
        <v>0.3</v>
      </c>
    </row>
    <row r="123">
      <c r="A123" s="7" t="str">
        <f>Secenekler!A123</f>
        <v>signator-a</v>
      </c>
      <c r="B123" s="7" t="str">
        <f>Secenekler!C123</f>
        <v>Ajans paketi: white-label toplu imza ve KVKK altbilgi</v>
      </c>
      <c r="C123" s="8">
        <f>INDEX(Hedef!$C$17:$C$21,Kanit!C123+1)</f>
        <v>0.3</v>
      </c>
      <c r="D123" s="8">
        <f>INDEX(Hedef!$C$17:$C$21,Kanit!D123+1)</f>
        <v>0.3</v>
      </c>
      <c r="E123" s="8">
        <f>INDEX(Hedef!$C$17:$C$21,Kanit!E123+1)</f>
        <v>0.3</v>
      </c>
      <c r="F123" s="8">
        <f>INDEX(Hedef!$C$17:$C$21,Kanit!F123+1)</f>
        <v>0.5</v>
      </c>
      <c r="G123" s="8">
        <f>INDEX(Hedef!$C$17:$C$21,Kanit!G123+1)</f>
        <v>0.3</v>
      </c>
      <c r="H123" s="8">
        <f>INDEX(Hedef!$C$17:$C$21,Kanit!H123+1)</f>
        <v>0.3</v>
      </c>
      <c r="I123" s="8">
        <f>INDEX(Hedef!$C$17:$C$21,Kanit!I123+1)</f>
        <v>0.5</v>
      </c>
      <c r="J123" s="8">
        <f>INDEX(Hedef!$C$17:$C$21,Kanit!J123+1)</f>
        <v>0.3</v>
      </c>
      <c r="K123" s="8">
        <f>INDEX(Hedef!$C$17:$C$21,Kanit!K123+1)</f>
        <v>0.3</v>
      </c>
      <c r="L123" s="8">
        <f>INDEX(Hedef!$C$17:$C$21,Kanit!L123+1)</f>
        <v>0.3</v>
      </c>
      <c r="M123" s="8">
        <f>INDEX(Hedef!$C$17:$C$21,Kanit!M123+1)</f>
        <v>0.3</v>
      </c>
      <c r="N123" s="8">
        <f>INDEX(Hedef!$C$17:$C$21,Kanit!N123+1)</f>
        <v>0.3</v>
      </c>
      <c r="O123" s="8">
        <f>INDEX(Hedef!$C$17:$C$21,Kanit!O123+1)</f>
        <v>0.3</v>
      </c>
      <c r="P123" s="8">
        <f>INDEX(Hedef!$C$17:$C$21,Kanit!P123+1)</f>
        <v>0.3</v>
      </c>
      <c r="Q123" s="8">
        <f>INDEX(Hedef!$C$17:$C$21,Kanit!Q123+1)</f>
        <v>0.3</v>
      </c>
      <c r="R123" s="8">
        <f>INDEX(Hedef!$C$17:$C$21,Kanit!R123+1)</f>
        <v>0.3</v>
      </c>
      <c r="S123" s="8">
        <f>INDEX(Hedef!$C$17:$C$21,Kanit!S123+1)</f>
        <v>0.3</v>
      </c>
      <c r="T123" s="8">
        <f>INDEX(Hedef!$C$17:$C$21,Kanit!T123+1)</f>
        <v>0.3</v>
      </c>
      <c r="U123" s="8">
        <f>INDEX(Hedef!$C$17:$C$21,Kanit!U123+1)</f>
        <v>0.3</v>
      </c>
      <c r="V123" s="8">
        <f>INDEX(Hedef!$C$17:$C$21,Kanit!V123+1)</f>
        <v>0.5</v>
      </c>
      <c r="W123" s="8">
        <f>INDEX(Hedef!$C$17:$C$21,Kanit!W123+1)</f>
        <v>0.3</v>
      </c>
      <c r="X123" s="8">
        <f>INDEX(Hedef!$C$17:$C$21,Kanit!X123+1)</f>
        <v>0.3</v>
      </c>
      <c r="Y123" s="8">
        <f>INDEX(Hedef!$C$17:$C$21,Kanit!Y123+1)</f>
        <v>0.5</v>
      </c>
      <c r="Z123" s="8">
        <f>INDEX(Hedef!$C$17:$C$21,Kanit!Z123+1)</f>
        <v>0.3</v>
      </c>
      <c r="AA123" s="8">
        <f>INDEX(Hedef!$C$17:$C$21,Kanit!AA123+1)</f>
        <v>0.3</v>
      </c>
      <c r="AB123" s="8">
        <f>INDEX(Hedef!$C$17:$C$21,Kanit!AB123+1)</f>
        <v>0.3</v>
      </c>
      <c r="AD123" s="8">
        <f>INDEX(Hedef!$C$17:$C$21,Kanit!AD123+1)</f>
        <v>0.5</v>
      </c>
      <c r="AE123" s="8">
        <f>INDEX(Hedef!$C$17:$C$21,Kanit!AE123+1)</f>
        <v>0.5</v>
      </c>
      <c r="AF123" s="8">
        <f>INDEX(Hedef!$C$17:$C$21,Kanit!AF123+1)</f>
        <v>0.3</v>
      </c>
      <c r="AG123" s="8">
        <f>INDEX(Hedef!$C$17:$C$21,Kanit!AG123+1)</f>
        <v>0.3</v>
      </c>
    </row>
    <row r="124">
      <c r="A124" s="7" t="str">
        <f>Secenekler!A124</f>
        <v>signator-b</v>
      </c>
      <c r="B124" s="7" t="str">
        <f>Secenekler!C124</f>
        <v>KOBİ ekip paketi: self-servis, aramadan gelen satış</v>
      </c>
      <c r="C124" s="8">
        <f>INDEX(Hedef!$C$17:$C$21,Kanit!C124+1)</f>
        <v>0.3</v>
      </c>
      <c r="D124" s="8">
        <f>INDEX(Hedef!$C$17:$C$21,Kanit!D124+1)</f>
        <v>0.3</v>
      </c>
      <c r="E124" s="8">
        <f>INDEX(Hedef!$C$17:$C$21,Kanit!E124+1)</f>
        <v>0.5</v>
      </c>
      <c r="F124" s="8">
        <f>INDEX(Hedef!$C$17:$C$21,Kanit!F124+1)</f>
        <v>0.5</v>
      </c>
      <c r="G124" s="8">
        <f>INDEX(Hedef!$C$17:$C$21,Kanit!G124+1)</f>
        <v>0.3</v>
      </c>
      <c r="H124" s="8">
        <f>INDEX(Hedef!$C$17:$C$21,Kanit!H124+1)</f>
        <v>0.5</v>
      </c>
      <c r="I124" s="8">
        <f>INDEX(Hedef!$C$17:$C$21,Kanit!I124+1)</f>
        <v>0.5</v>
      </c>
      <c r="J124" s="8">
        <f>INDEX(Hedef!$C$17:$C$21,Kanit!J124+1)</f>
        <v>0.5</v>
      </c>
      <c r="K124" s="8">
        <f>INDEX(Hedef!$C$17:$C$21,Kanit!K124+1)</f>
        <v>0.3</v>
      </c>
      <c r="L124" s="8">
        <f>INDEX(Hedef!$C$17:$C$21,Kanit!L124+1)</f>
        <v>0.3</v>
      </c>
      <c r="M124" s="8">
        <f>INDEX(Hedef!$C$17:$C$21,Kanit!M124+1)</f>
        <v>0.3</v>
      </c>
      <c r="N124" s="8">
        <f>INDEX(Hedef!$C$17:$C$21,Kanit!N124+1)</f>
        <v>0.3</v>
      </c>
      <c r="O124" s="8">
        <f>INDEX(Hedef!$C$17:$C$21,Kanit!O124+1)</f>
        <v>0.3</v>
      </c>
      <c r="P124" s="8">
        <f>INDEX(Hedef!$C$17:$C$21,Kanit!P124+1)</f>
        <v>0.3</v>
      </c>
      <c r="Q124" s="8">
        <f>INDEX(Hedef!$C$17:$C$21,Kanit!Q124+1)</f>
        <v>0.3</v>
      </c>
      <c r="R124" s="8">
        <f>INDEX(Hedef!$C$17:$C$21,Kanit!R124+1)</f>
        <v>0.3</v>
      </c>
      <c r="S124" s="8">
        <f>INDEX(Hedef!$C$17:$C$21,Kanit!S124+1)</f>
        <v>0.3</v>
      </c>
      <c r="T124" s="8">
        <f>INDEX(Hedef!$C$17:$C$21,Kanit!T124+1)</f>
        <v>0.3</v>
      </c>
      <c r="U124" s="8">
        <f>INDEX(Hedef!$C$17:$C$21,Kanit!U124+1)</f>
        <v>0.3</v>
      </c>
      <c r="V124" s="8">
        <f>INDEX(Hedef!$C$17:$C$21,Kanit!V124+1)</f>
        <v>0.5</v>
      </c>
      <c r="W124" s="8">
        <f>INDEX(Hedef!$C$17:$C$21,Kanit!W124+1)</f>
        <v>0.3</v>
      </c>
      <c r="X124" s="8">
        <f>INDEX(Hedef!$C$17:$C$21,Kanit!X124+1)</f>
        <v>0.3</v>
      </c>
      <c r="Y124" s="8">
        <f>INDEX(Hedef!$C$17:$C$21,Kanit!Y124+1)</f>
        <v>0.5</v>
      </c>
      <c r="Z124" s="8">
        <f>INDEX(Hedef!$C$17:$C$21,Kanit!Z124+1)</f>
        <v>0.3</v>
      </c>
      <c r="AA124" s="8">
        <f>INDEX(Hedef!$C$17:$C$21,Kanit!AA124+1)</f>
        <v>0.3</v>
      </c>
      <c r="AB124" s="8">
        <f>INDEX(Hedef!$C$17:$C$21,Kanit!AB124+1)</f>
        <v>0.3</v>
      </c>
      <c r="AD124" s="8">
        <f>INDEX(Hedef!$C$17:$C$21,Kanit!AD124+1)</f>
        <v>0.5</v>
      </c>
      <c r="AE124" s="8">
        <f>INDEX(Hedef!$C$17:$C$21,Kanit!AE124+1)</f>
        <v>0.5</v>
      </c>
      <c r="AF124" s="8">
        <f>INDEX(Hedef!$C$17:$C$21,Kanit!AF124+1)</f>
        <v>0.3</v>
      </c>
      <c r="AG124" s="8">
        <f>INDEX(Hedef!$C$17:$C$21,Kanit!AG124+1)</f>
        <v>0.3</v>
      </c>
    </row>
    <row r="125">
      <c r="A125" s="7" t="str">
        <f>Secenekler!A125</f>
        <v>signator-c</v>
      </c>
      <c r="B125" s="7" t="str">
        <f>Secenekler!C125</f>
        <v>Sabit fiyatlı ekip imzası kurulum paketi</v>
      </c>
      <c r="C125" s="8">
        <f>INDEX(Hedef!$C$17:$C$21,Kanit!C125+1)</f>
        <v>0.3</v>
      </c>
      <c r="D125" s="8">
        <f>INDEX(Hedef!$C$17:$C$21,Kanit!D125+1)</f>
        <v>0.3</v>
      </c>
      <c r="E125" s="8">
        <f>INDEX(Hedef!$C$17:$C$21,Kanit!E125+1)</f>
        <v>0.3</v>
      </c>
      <c r="F125" s="8">
        <f>INDEX(Hedef!$C$17:$C$21,Kanit!F125+1)</f>
        <v>0.3</v>
      </c>
      <c r="G125" s="8">
        <f>INDEX(Hedef!$C$17:$C$21,Kanit!G125+1)</f>
        <v>0.3</v>
      </c>
      <c r="H125" s="8">
        <f>INDEX(Hedef!$C$17:$C$21,Kanit!H125+1)</f>
        <v>0.3</v>
      </c>
      <c r="I125" s="8">
        <f>INDEX(Hedef!$C$17:$C$21,Kanit!I125+1)</f>
        <v>0.5</v>
      </c>
      <c r="J125" s="8">
        <f>INDEX(Hedef!$C$17:$C$21,Kanit!J125+1)</f>
        <v>0.3</v>
      </c>
      <c r="K125" s="8">
        <f>INDEX(Hedef!$C$17:$C$21,Kanit!K125+1)</f>
        <v>0.3</v>
      </c>
      <c r="L125" s="8">
        <f>INDEX(Hedef!$C$17:$C$21,Kanit!L125+1)</f>
        <v>0.3</v>
      </c>
      <c r="M125" s="8">
        <f>INDEX(Hedef!$C$17:$C$21,Kanit!M125+1)</f>
        <v>0.3</v>
      </c>
      <c r="N125" s="8">
        <f>INDEX(Hedef!$C$17:$C$21,Kanit!N125+1)</f>
        <v>0.3</v>
      </c>
      <c r="O125" s="8">
        <f>INDEX(Hedef!$C$17:$C$21,Kanit!O125+1)</f>
        <v>0.3</v>
      </c>
      <c r="P125" s="8">
        <f>INDEX(Hedef!$C$17:$C$21,Kanit!P125+1)</f>
        <v>0.3</v>
      </c>
      <c r="Q125" s="8">
        <f>INDEX(Hedef!$C$17:$C$21,Kanit!Q125+1)</f>
        <v>0.3</v>
      </c>
      <c r="R125" s="8">
        <f>INDEX(Hedef!$C$17:$C$21,Kanit!R125+1)</f>
        <v>0.3</v>
      </c>
      <c r="S125" s="8">
        <f>INDEX(Hedef!$C$17:$C$21,Kanit!S125+1)</f>
        <v>0.3</v>
      </c>
      <c r="T125" s="8">
        <f>INDEX(Hedef!$C$17:$C$21,Kanit!T125+1)</f>
        <v>0.3</v>
      </c>
      <c r="U125" s="8">
        <f>INDEX(Hedef!$C$17:$C$21,Kanit!U125+1)</f>
        <v>0.3</v>
      </c>
      <c r="V125" s="8">
        <f>INDEX(Hedef!$C$17:$C$21,Kanit!V125+1)</f>
        <v>0.3</v>
      </c>
      <c r="W125" s="8">
        <f>INDEX(Hedef!$C$17:$C$21,Kanit!W125+1)</f>
        <v>0.3</v>
      </c>
      <c r="X125" s="8">
        <f>INDEX(Hedef!$C$17:$C$21,Kanit!X125+1)</f>
        <v>0.3</v>
      </c>
      <c r="Y125" s="8">
        <f>INDEX(Hedef!$C$17:$C$21,Kanit!Y125+1)</f>
        <v>0.5</v>
      </c>
      <c r="Z125" s="8">
        <f>INDEX(Hedef!$C$17:$C$21,Kanit!Z125+1)</f>
        <v>0.3</v>
      </c>
      <c r="AA125" s="8">
        <f>INDEX(Hedef!$C$17:$C$21,Kanit!AA125+1)</f>
        <v>0.3</v>
      </c>
      <c r="AB125" s="8">
        <f>INDEX(Hedef!$C$17:$C$21,Kanit!AB125+1)</f>
        <v>0.3</v>
      </c>
      <c r="AD125" s="8">
        <f>INDEX(Hedef!$C$17:$C$21,Kanit!AD125+1)</f>
        <v>0.5</v>
      </c>
      <c r="AE125" s="8">
        <f>INDEX(Hedef!$C$17:$C$21,Kanit!AE125+1)</f>
        <v>0.3</v>
      </c>
      <c r="AF125" s="8">
        <f>INDEX(Hedef!$C$17:$C$21,Kanit!AF125+1)</f>
        <v>0.3</v>
      </c>
      <c r="AG125" s="8">
        <f>INDEX(Hedef!$C$17:$C$21,Kanit!AG125+1)</f>
        <v>0.3</v>
      </c>
    </row>
    <row r="126">
      <c r="A126" s="7" t="str">
        <f>Secenekler!A126</f>
        <v>volley-tap-a</v>
      </c>
      <c r="B126" s="7" t="str">
        <f>Secenekler!C126</f>
        <v>Kulüp ve markalara sabit paketli kampanya oyunu</v>
      </c>
      <c r="C126" s="8">
        <f>INDEX(Hedef!$C$17:$C$21,Kanit!C126+1)</f>
        <v>0.3</v>
      </c>
      <c r="D126" s="8">
        <f>INDEX(Hedef!$C$17:$C$21,Kanit!D126+1)</f>
        <v>0.5</v>
      </c>
      <c r="E126" s="8">
        <f>INDEX(Hedef!$C$17:$C$21,Kanit!E126+1)</f>
        <v>0.3</v>
      </c>
      <c r="F126" s="8">
        <f>INDEX(Hedef!$C$17:$C$21,Kanit!F126+1)</f>
        <v>0.3</v>
      </c>
      <c r="G126" s="8">
        <f>INDEX(Hedef!$C$17:$C$21,Kanit!G126+1)</f>
        <v>0.3</v>
      </c>
      <c r="H126" s="8">
        <f>INDEX(Hedef!$C$17:$C$21,Kanit!H126+1)</f>
        <v>0.3</v>
      </c>
      <c r="I126" s="8">
        <f>INDEX(Hedef!$C$17:$C$21,Kanit!I126+1)</f>
        <v>0.3</v>
      </c>
      <c r="J126" s="8">
        <f>INDEX(Hedef!$C$17:$C$21,Kanit!J126+1)</f>
        <v>0.3</v>
      </c>
      <c r="K126" s="8">
        <f>INDEX(Hedef!$C$17:$C$21,Kanit!K126+1)</f>
        <v>0.3</v>
      </c>
      <c r="L126" s="8">
        <f>INDEX(Hedef!$C$17:$C$21,Kanit!L126+1)</f>
        <v>0.3</v>
      </c>
      <c r="M126" s="8">
        <f>INDEX(Hedef!$C$17:$C$21,Kanit!M126+1)</f>
        <v>0.3</v>
      </c>
      <c r="N126" s="8">
        <f>INDEX(Hedef!$C$17:$C$21,Kanit!N126+1)</f>
        <v>0.3</v>
      </c>
      <c r="O126" s="8">
        <f>INDEX(Hedef!$C$17:$C$21,Kanit!O126+1)</f>
        <v>0.3</v>
      </c>
      <c r="P126" s="8">
        <f>INDEX(Hedef!$C$17:$C$21,Kanit!P126+1)</f>
        <v>0.5</v>
      </c>
      <c r="Q126" s="8">
        <f>INDEX(Hedef!$C$17:$C$21,Kanit!Q126+1)</f>
        <v>0.3</v>
      </c>
      <c r="R126" s="8">
        <f>INDEX(Hedef!$C$17:$C$21,Kanit!R126+1)</f>
        <v>0.3</v>
      </c>
      <c r="S126" s="8">
        <f>INDEX(Hedef!$C$17:$C$21,Kanit!S126+1)</f>
        <v>0.3</v>
      </c>
      <c r="T126" s="8">
        <f>INDEX(Hedef!$C$17:$C$21,Kanit!T126+1)</f>
        <v>0.3</v>
      </c>
      <c r="U126" s="8">
        <f>INDEX(Hedef!$C$17:$C$21,Kanit!U126+1)</f>
        <v>0.3</v>
      </c>
      <c r="V126" s="8">
        <f>INDEX(Hedef!$C$17:$C$21,Kanit!V126+1)</f>
        <v>0.3</v>
      </c>
      <c r="W126" s="8">
        <f>INDEX(Hedef!$C$17:$C$21,Kanit!W126+1)</f>
        <v>0.3</v>
      </c>
      <c r="X126" s="8">
        <f>INDEX(Hedef!$C$17:$C$21,Kanit!X126+1)</f>
        <v>0.3</v>
      </c>
      <c r="Y126" s="8">
        <f>INDEX(Hedef!$C$17:$C$21,Kanit!Y126+1)</f>
        <v>0.3</v>
      </c>
      <c r="Z126" s="8">
        <f>INDEX(Hedef!$C$17:$C$21,Kanit!Z126+1)</f>
        <v>0.3</v>
      </c>
      <c r="AA126" s="8">
        <f>INDEX(Hedef!$C$17:$C$21,Kanit!AA126+1)</f>
        <v>0.3</v>
      </c>
      <c r="AB126" s="8">
        <f>INDEX(Hedef!$C$17:$C$21,Kanit!AB126+1)</f>
        <v>0.3</v>
      </c>
      <c r="AD126" s="8">
        <f>INDEX(Hedef!$C$17:$C$21,Kanit!AD126+1)</f>
        <v>0.3</v>
      </c>
      <c r="AE126" s="8">
        <f>INDEX(Hedef!$C$17:$C$21,Kanit!AE126+1)</f>
        <v>0.3</v>
      </c>
      <c r="AF126" s="8">
        <f>INDEX(Hedef!$C$17:$C$21,Kanit!AF126+1)</f>
        <v>0.3</v>
      </c>
      <c r="AG126" s="8">
        <f>INDEX(Hedef!$C$17:$C$21,Kanit!AG126+1)</f>
        <v>0.3</v>
      </c>
    </row>
    <row r="127">
      <c r="A127" s="7" t="str">
        <f>Secenekler!A127</f>
        <v>volley-tap-b</v>
      </c>
      <c r="B127" s="7" t="str">
        <f>Secenekler!C127</f>
        <v>CrazyGames ve Yandex Games portal reklam geliri</v>
      </c>
      <c r="C127" s="8">
        <f>INDEX(Hedef!$C$17:$C$21,Kanit!C127+1)</f>
        <v>0.3</v>
      </c>
      <c r="D127" s="8">
        <f>INDEX(Hedef!$C$17:$C$21,Kanit!D127+1)</f>
        <v>0.3</v>
      </c>
      <c r="E127" s="8">
        <f>INDEX(Hedef!$C$17:$C$21,Kanit!E127+1)</f>
        <v>0.5</v>
      </c>
      <c r="F127" s="8">
        <f>INDEX(Hedef!$C$17:$C$21,Kanit!F127+1)</f>
        <v>0.5</v>
      </c>
      <c r="G127" s="8">
        <f>INDEX(Hedef!$C$17:$C$21,Kanit!G127+1)</f>
        <v>0.5</v>
      </c>
      <c r="H127" s="8">
        <f>INDEX(Hedef!$C$17:$C$21,Kanit!H127+1)</f>
        <v>0.5</v>
      </c>
      <c r="I127" s="8">
        <f>INDEX(Hedef!$C$17:$C$21,Kanit!I127+1)</f>
        <v>0.3</v>
      </c>
      <c r="J127" s="8">
        <f>INDEX(Hedef!$C$17:$C$21,Kanit!J127+1)</f>
        <v>0.5</v>
      </c>
      <c r="K127" s="8">
        <f>INDEX(Hedef!$C$17:$C$21,Kanit!K127+1)</f>
        <v>0.5</v>
      </c>
      <c r="L127" s="8">
        <f>INDEX(Hedef!$C$17:$C$21,Kanit!L127+1)</f>
        <v>0.3</v>
      </c>
      <c r="M127" s="8">
        <f>INDEX(Hedef!$C$17:$C$21,Kanit!M127+1)</f>
        <v>0.3</v>
      </c>
      <c r="N127" s="8">
        <f>INDEX(Hedef!$C$17:$C$21,Kanit!N127+1)</f>
        <v>0.5</v>
      </c>
      <c r="O127" s="8">
        <f>INDEX(Hedef!$C$17:$C$21,Kanit!O127+1)</f>
        <v>0.3</v>
      </c>
      <c r="P127" s="8">
        <f>INDEX(Hedef!$C$17:$C$21,Kanit!P127+1)</f>
        <v>0.5</v>
      </c>
      <c r="Q127" s="8">
        <f>INDEX(Hedef!$C$17:$C$21,Kanit!Q127+1)</f>
        <v>0.5</v>
      </c>
      <c r="R127" s="8">
        <f>INDEX(Hedef!$C$17:$C$21,Kanit!R127+1)</f>
        <v>0.5</v>
      </c>
      <c r="S127" s="8">
        <f>INDEX(Hedef!$C$17:$C$21,Kanit!S127+1)</f>
        <v>0.5</v>
      </c>
      <c r="T127" s="8">
        <f>INDEX(Hedef!$C$17:$C$21,Kanit!T127+1)</f>
        <v>0.5</v>
      </c>
      <c r="U127" s="8">
        <f>INDEX(Hedef!$C$17:$C$21,Kanit!U127+1)</f>
        <v>0.3</v>
      </c>
      <c r="V127" s="8">
        <f>INDEX(Hedef!$C$17:$C$21,Kanit!V127+1)</f>
        <v>0.5</v>
      </c>
      <c r="W127" s="8">
        <f>INDEX(Hedef!$C$17:$C$21,Kanit!W127+1)</f>
        <v>0.3</v>
      </c>
      <c r="X127" s="8">
        <f>INDEX(Hedef!$C$17:$C$21,Kanit!X127+1)</f>
        <v>0.3</v>
      </c>
      <c r="Y127" s="8">
        <f>INDEX(Hedef!$C$17:$C$21,Kanit!Y127+1)</f>
        <v>0.5</v>
      </c>
      <c r="Z127" s="8">
        <f>INDEX(Hedef!$C$17:$C$21,Kanit!Z127+1)</f>
        <v>0.3</v>
      </c>
      <c r="AA127" s="8">
        <f>INDEX(Hedef!$C$17:$C$21,Kanit!AA127+1)</f>
        <v>0.3</v>
      </c>
      <c r="AB127" s="8">
        <f>INDEX(Hedef!$C$17:$C$21,Kanit!AB127+1)</f>
        <v>0.5</v>
      </c>
      <c r="AD127" s="8">
        <f>INDEX(Hedef!$C$17:$C$21,Kanit!AD127+1)</f>
        <v>0.5</v>
      </c>
      <c r="AE127" s="8">
        <f>INDEX(Hedef!$C$17:$C$21,Kanit!AE127+1)</f>
        <v>0.3</v>
      </c>
      <c r="AF127" s="8">
        <f>INDEX(Hedef!$C$17:$C$21,Kanit!AF127+1)</f>
        <v>0.5</v>
      </c>
      <c r="AG127" s="8">
        <f>INDEX(Hedef!$C$17:$C$21,Kanit!AG127+1)</f>
        <v>0.3</v>
      </c>
    </row>
    <row r="128">
      <c r="A128" s="7" t="str">
        <f>Secenekler!A128</f>
        <v>volley-tap-c</v>
      </c>
      <c r="B128" s="7" t="str">
        <f>Secenekler!C128</f>
        <v>itch.io tarayıcı demo ve ücretli premium paket</v>
      </c>
      <c r="C128" s="8">
        <f>INDEX(Hedef!$C$17:$C$21,Kanit!C128+1)</f>
        <v>0.3</v>
      </c>
      <c r="D128" s="8">
        <f>INDEX(Hedef!$C$17:$C$21,Kanit!D128+1)</f>
        <v>0.3</v>
      </c>
      <c r="E128" s="8">
        <f>INDEX(Hedef!$C$17:$C$21,Kanit!E128+1)</f>
        <v>0.3</v>
      </c>
      <c r="F128" s="8">
        <f>INDEX(Hedef!$C$17:$C$21,Kanit!F128+1)</f>
        <v>0.3</v>
      </c>
      <c r="G128" s="8">
        <f>INDEX(Hedef!$C$17:$C$21,Kanit!G128+1)</f>
        <v>0.3</v>
      </c>
      <c r="H128" s="8">
        <f>INDEX(Hedef!$C$17:$C$21,Kanit!H128+1)</f>
        <v>0.3</v>
      </c>
      <c r="I128" s="8">
        <f>INDEX(Hedef!$C$17:$C$21,Kanit!I128+1)</f>
        <v>0.3</v>
      </c>
      <c r="J128" s="8">
        <f>INDEX(Hedef!$C$17:$C$21,Kanit!J128+1)</f>
        <v>0.3</v>
      </c>
      <c r="K128" s="8">
        <f>INDEX(Hedef!$C$17:$C$21,Kanit!K128+1)</f>
        <v>0.3</v>
      </c>
      <c r="L128" s="8">
        <f>INDEX(Hedef!$C$17:$C$21,Kanit!L128+1)</f>
        <v>0.3</v>
      </c>
      <c r="M128" s="8">
        <f>INDEX(Hedef!$C$17:$C$21,Kanit!M128+1)</f>
        <v>0.3</v>
      </c>
      <c r="N128" s="8">
        <f>INDEX(Hedef!$C$17:$C$21,Kanit!N128+1)</f>
        <v>0.3</v>
      </c>
      <c r="O128" s="8">
        <f>INDEX(Hedef!$C$17:$C$21,Kanit!O128+1)</f>
        <v>0.3</v>
      </c>
      <c r="P128" s="8">
        <f>INDEX(Hedef!$C$17:$C$21,Kanit!P128+1)</f>
        <v>0.5</v>
      </c>
      <c r="Q128" s="8">
        <f>INDEX(Hedef!$C$17:$C$21,Kanit!Q128+1)</f>
        <v>0.3</v>
      </c>
      <c r="R128" s="8">
        <f>INDEX(Hedef!$C$17:$C$21,Kanit!R128+1)</f>
        <v>0.5</v>
      </c>
      <c r="S128" s="8">
        <f>INDEX(Hedef!$C$17:$C$21,Kanit!S128+1)</f>
        <v>0.3</v>
      </c>
      <c r="T128" s="8">
        <f>INDEX(Hedef!$C$17:$C$21,Kanit!T128+1)</f>
        <v>0.3</v>
      </c>
      <c r="U128" s="8">
        <f>INDEX(Hedef!$C$17:$C$21,Kanit!U128+1)</f>
        <v>0.3</v>
      </c>
      <c r="V128" s="8">
        <f>INDEX(Hedef!$C$17:$C$21,Kanit!V128+1)</f>
        <v>0.3</v>
      </c>
      <c r="W128" s="8">
        <f>INDEX(Hedef!$C$17:$C$21,Kanit!W128+1)</f>
        <v>0.3</v>
      </c>
      <c r="X128" s="8">
        <f>INDEX(Hedef!$C$17:$C$21,Kanit!X128+1)</f>
        <v>0.3</v>
      </c>
      <c r="Y128" s="8">
        <f>INDEX(Hedef!$C$17:$C$21,Kanit!Y128+1)</f>
        <v>0.3</v>
      </c>
      <c r="Z128" s="8">
        <f>INDEX(Hedef!$C$17:$C$21,Kanit!Z128+1)</f>
        <v>0.3</v>
      </c>
      <c r="AA128" s="8">
        <f>INDEX(Hedef!$C$17:$C$21,Kanit!AA128+1)</f>
        <v>0.3</v>
      </c>
      <c r="AB128" s="8">
        <f>INDEX(Hedef!$C$17:$C$21,Kanit!AB128+1)</f>
        <v>0.3</v>
      </c>
      <c r="AD128" s="8">
        <f>INDEX(Hedef!$C$17:$C$21,Kanit!AD128+1)</f>
        <v>0.3</v>
      </c>
      <c r="AE128" s="8">
        <f>INDEX(Hedef!$C$17:$C$21,Kanit!AE128+1)</f>
        <v>0.3</v>
      </c>
      <c r="AF128" s="8">
        <f>INDEX(Hedef!$C$17:$C$21,Kanit!AF128+1)</f>
        <v>0.3</v>
      </c>
      <c r="AG128" s="8">
        <f>INDEX(Hedef!$C$17:$C$21,Kanit!AG128+1)</f>
        <v>0.3</v>
      </c>
    </row>
    <row r="129">
      <c r="A129" s="7" t="str">
        <f>Secenekler!A129</f>
        <v>woocommnts-a</v>
      </c>
      <c r="B129" s="7" t="str">
        <f>Secenekler!C129</f>
        <v>Taksit ve kapıda ödeme eklentisi: ücretsiz çekirdek + Pro</v>
      </c>
      <c r="C129" s="8">
        <f>INDEX(Hedef!$C$17:$C$21,Kanit!C129+1)</f>
        <v>0.3</v>
      </c>
      <c r="D129" s="8">
        <f>INDEX(Hedef!$C$17:$C$21,Kanit!D129+1)</f>
        <v>0.3</v>
      </c>
      <c r="E129" s="8">
        <f>INDEX(Hedef!$C$17:$C$21,Kanit!E129+1)</f>
        <v>0.5</v>
      </c>
      <c r="F129" s="8">
        <f>INDEX(Hedef!$C$17:$C$21,Kanit!F129+1)</f>
        <v>0.5</v>
      </c>
      <c r="G129" s="8">
        <f>INDEX(Hedef!$C$17:$C$21,Kanit!G129+1)</f>
        <v>0.3</v>
      </c>
      <c r="H129" s="8">
        <f>INDEX(Hedef!$C$17:$C$21,Kanit!H129+1)</f>
        <v>0.3</v>
      </c>
      <c r="I129" s="8">
        <f>INDEX(Hedef!$C$17:$C$21,Kanit!I129+1)</f>
        <v>0.3</v>
      </c>
      <c r="J129" s="8">
        <f>INDEX(Hedef!$C$17:$C$21,Kanit!J129+1)</f>
        <v>0.5</v>
      </c>
      <c r="K129" s="8">
        <f>INDEX(Hedef!$C$17:$C$21,Kanit!K129+1)</f>
        <v>0.3</v>
      </c>
      <c r="L129" s="8">
        <f>INDEX(Hedef!$C$17:$C$21,Kanit!L129+1)</f>
        <v>0.3</v>
      </c>
      <c r="M129" s="8">
        <f>INDEX(Hedef!$C$17:$C$21,Kanit!M129+1)</f>
        <v>0.3</v>
      </c>
      <c r="N129" s="8">
        <f>INDEX(Hedef!$C$17:$C$21,Kanit!N129+1)</f>
        <v>0.3</v>
      </c>
      <c r="O129" s="8">
        <f>INDEX(Hedef!$C$17:$C$21,Kanit!O129+1)</f>
        <v>0.3</v>
      </c>
      <c r="P129" s="8">
        <f>INDEX(Hedef!$C$17:$C$21,Kanit!P129+1)</f>
        <v>0.3</v>
      </c>
      <c r="Q129" s="8">
        <f>INDEX(Hedef!$C$17:$C$21,Kanit!Q129+1)</f>
        <v>0.3</v>
      </c>
      <c r="R129" s="8">
        <f>INDEX(Hedef!$C$17:$C$21,Kanit!R129+1)</f>
        <v>0.3</v>
      </c>
      <c r="S129" s="8">
        <f>INDEX(Hedef!$C$17:$C$21,Kanit!S129+1)</f>
        <v>0.3</v>
      </c>
      <c r="T129" s="8">
        <f>INDEX(Hedef!$C$17:$C$21,Kanit!T129+1)</f>
        <v>0.3</v>
      </c>
      <c r="U129" s="8">
        <f>INDEX(Hedef!$C$17:$C$21,Kanit!U129+1)</f>
        <v>0.3</v>
      </c>
      <c r="V129" s="8">
        <f>INDEX(Hedef!$C$17:$C$21,Kanit!V129+1)</f>
        <v>0.3</v>
      </c>
      <c r="W129" s="8">
        <f>INDEX(Hedef!$C$17:$C$21,Kanit!W129+1)</f>
        <v>0.3</v>
      </c>
      <c r="X129" s="8">
        <f>INDEX(Hedef!$C$17:$C$21,Kanit!X129+1)</f>
        <v>0.5</v>
      </c>
      <c r="Y129" s="8">
        <f>INDEX(Hedef!$C$17:$C$21,Kanit!Y129+1)</f>
        <v>0.5</v>
      </c>
      <c r="Z129" s="8">
        <f>INDEX(Hedef!$C$17:$C$21,Kanit!Z129+1)</f>
        <v>0.3</v>
      </c>
      <c r="AA129" s="8">
        <f>INDEX(Hedef!$C$17:$C$21,Kanit!AA129+1)</f>
        <v>0.5</v>
      </c>
      <c r="AB129" s="8">
        <f>INDEX(Hedef!$C$17:$C$21,Kanit!AB129+1)</f>
        <v>0.3</v>
      </c>
      <c r="AD129" s="8">
        <f>INDEX(Hedef!$C$17:$C$21,Kanit!AD129+1)</f>
        <v>0.5</v>
      </c>
      <c r="AE129" s="8">
        <f>INDEX(Hedef!$C$17:$C$21,Kanit!AE129+1)</f>
        <v>0.5</v>
      </c>
      <c r="AF129" s="8">
        <f>INDEX(Hedef!$C$17:$C$21,Kanit!AF129+1)</f>
        <v>0.3</v>
      </c>
      <c r="AG129" s="8">
        <f>INDEX(Hedef!$C$17:$C$21,Kanit!AG129+1)</f>
        <v>0.3</v>
      </c>
    </row>
    <row r="130">
      <c r="A130" s="7" t="str">
        <f>Secenekler!A130</f>
        <v>woocommnts-b</v>
      </c>
      <c r="B130" s="7" t="str">
        <f>Secenekler!C130</f>
        <v>Ajans paketi: 10 site lisanslı taksit ve kapıda ödeme eklentisi</v>
      </c>
      <c r="C130" s="8">
        <f>INDEX(Hedef!$C$17:$C$21,Kanit!C130+1)</f>
        <v>0.3</v>
      </c>
      <c r="D130" s="8">
        <f>INDEX(Hedef!$C$17:$C$21,Kanit!D130+1)</f>
        <v>0.3</v>
      </c>
      <c r="E130" s="8">
        <f>INDEX(Hedef!$C$17:$C$21,Kanit!E130+1)</f>
        <v>0.3</v>
      </c>
      <c r="F130" s="8">
        <f>INDEX(Hedef!$C$17:$C$21,Kanit!F130+1)</f>
        <v>0.5</v>
      </c>
      <c r="G130" s="8">
        <f>INDEX(Hedef!$C$17:$C$21,Kanit!G130+1)</f>
        <v>0.3</v>
      </c>
      <c r="H130" s="8">
        <f>INDEX(Hedef!$C$17:$C$21,Kanit!H130+1)</f>
        <v>0.3</v>
      </c>
      <c r="I130" s="8">
        <f>INDEX(Hedef!$C$17:$C$21,Kanit!I130+1)</f>
        <v>0.3</v>
      </c>
      <c r="J130" s="8">
        <f>INDEX(Hedef!$C$17:$C$21,Kanit!J130+1)</f>
        <v>0.5</v>
      </c>
      <c r="K130" s="8">
        <f>INDEX(Hedef!$C$17:$C$21,Kanit!K130+1)</f>
        <v>0.3</v>
      </c>
      <c r="L130" s="8">
        <f>INDEX(Hedef!$C$17:$C$21,Kanit!L130+1)</f>
        <v>0.3</v>
      </c>
      <c r="M130" s="8">
        <f>INDEX(Hedef!$C$17:$C$21,Kanit!M130+1)</f>
        <v>0.3</v>
      </c>
      <c r="N130" s="8">
        <f>INDEX(Hedef!$C$17:$C$21,Kanit!N130+1)</f>
        <v>0.3</v>
      </c>
      <c r="O130" s="8">
        <f>INDEX(Hedef!$C$17:$C$21,Kanit!O130+1)</f>
        <v>0.3</v>
      </c>
      <c r="P130" s="8">
        <f>INDEX(Hedef!$C$17:$C$21,Kanit!P130+1)</f>
        <v>0.3</v>
      </c>
      <c r="Q130" s="8">
        <f>INDEX(Hedef!$C$17:$C$21,Kanit!Q130+1)</f>
        <v>0.3</v>
      </c>
      <c r="R130" s="8">
        <f>INDEX(Hedef!$C$17:$C$21,Kanit!R130+1)</f>
        <v>0.3</v>
      </c>
      <c r="S130" s="8">
        <f>INDEX(Hedef!$C$17:$C$21,Kanit!S130+1)</f>
        <v>0.3</v>
      </c>
      <c r="T130" s="8">
        <f>INDEX(Hedef!$C$17:$C$21,Kanit!T130+1)</f>
        <v>0.3</v>
      </c>
      <c r="U130" s="8">
        <f>INDEX(Hedef!$C$17:$C$21,Kanit!U130+1)</f>
        <v>0.3</v>
      </c>
      <c r="V130" s="8">
        <f>INDEX(Hedef!$C$17:$C$21,Kanit!V130+1)</f>
        <v>0.3</v>
      </c>
      <c r="W130" s="8">
        <f>INDEX(Hedef!$C$17:$C$21,Kanit!W130+1)</f>
        <v>0.3</v>
      </c>
      <c r="X130" s="8">
        <f>INDEX(Hedef!$C$17:$C$21,Kanit!X130+1)</f>
        <v>0.5</v>
      </c>
      <c r="Y130" s="8">
        <f>INDEX(Hedef!$C$17:$C$21,Kanit!Y130+1)</f>
        <v>0.5</v>
      </c>
      <c r="Z130" s="8">
        <f>INDEX(Hedef!$C$17:$C$21,Kanit!Z130+1)</f>
        <v>0.3</v>
      </c>
      <c r="AA130" s="8">
        <f>INDEX(Hedef!$C$17:$C$21,Kanit!AA130+1)</f>
        <v>0.5</v>
      </c>
      <c r="AB130" s="8">
        <f>INDEX(Hedef!$C$17:$C$21,Kanit!AB130+1)</f>
        <v>0.3</v>
      </c>
      <c r="AD130" s="8">
        <f>INDEX(Hedef!$C$17:$C$21,Kanit!AD130+1)</f>
        <v>0.3</v>
      </c>
      <c r="AE130" s="8">
        <f>INDEX(Hedef!$C$17:$C$21,Kanit!AE130+1)</f>
        <v>0.3</v>
      </c>
      <c r="AF130" s="8">
        <f>INDEX(Hedef!$C$17:$C$21,Kanit!AF130+1)</f>
        <v>0.3</v>
      </c>
      <c r="AG130" s="8">
        <f>INDEX(Hedef!$C$17:$C$21,Kanit!AG130+1)</f>
        <v>0.3</v>
      </c>
    </row>
    <row r="131">
      <c r="A131" s="7" t="str">
        <f>Secenekler!A131</f>
        <v>woocommnts-c</v>
      </c>
      <c r="B131" s="7" t="str">
        <f>Secenekler!C131</f>
        <v>Yorum göç hizmeti: izinli yorumları doğru ürüne eşleme</v>
      </c>
      <c r="C131" s="8">
        <f>INDEX(Hedef!$C$17:$C$21,Kanit!C131+1)</f>
        <v>0.3</v>
      </c>
      <c r="D131" s="8">
        <f>INDEX(Hedef!$C$17:$C$21,Kanit!D131+1)</f>
        <v>0.3</v>
      </c>
      <c r="E131" s="8">
        <f>INDEX(Hedef!$C$17:$C$21,Kanit!E131+1)</f>
        <v>0.3</v>
      </c>
      <c r="F131" s="8">
        <f>INDEX(Hedef!$C$17:$C$21,Kanit!F131+1)</f>
        <v>0.5</v>
      </c>
      <c r="G131" s="8">
        <f>INDEX(Hedef!$C$17:$C$21,Kanit!G131+1)</f>
        <v>0.3</v>
      </c>
      <c r="H131" s="8">
        <f>INDEX(Hedef!$C$17:$C$21,Kanit!H131+1)</f>
        <v>0.3</v>
      </c>
      <c r="I131" s="8">
        <f>INDEX(Hedef!$C$17:$C$21,Kanit!I131+1)</f>
        <v>0.3</v>
      </c>
      <c r="J131" s="8">
        <f>INDEX(Hedef!$C$17:$C$21,Kanit!J131+1)</f>
        <v>0.5</v>
      </c>
      <c r="K131" s="8">
        <f>INDEX(Hedef!$C$17:$C$21,Kanit!K131+1)</f>
        <v>0.3</v>
      </c>
      <c r="L131" s="8">
        <f>INDEX(Hedef!$C$17:$C$21,Kanit!L131+1)</f>
        <v>0.3</v>
      </c>
      <c r="M131" s="8">
        <f>INDEX(Hedef!$C$17:$C$21,Kanit!M131+1)</f>
        <v>0.3</v>
      </c>
      <c r="N131" s="8">
        <f>INDEX(Hedef!$C$17:$C$21,Kanit!N131+1)</f>
        <v>0.3</v>
      </c>
      <c r="O131" s="8">
        <f>INDEX(Hedef!$C$17:$C$21,Kanit!O131+1)</f>
        <v>0.3</v>
      </c>
      <c r="P131" s="8">
        <f>INDEX(Hedef!$C$17:$C$21,Kanit!P131+1)</f>
        <v>0.3</v>
      </c>
      <c r="Q131" s="8">
        <f>INDEX(Hedef!$C$17:$C$21,Kanit!Q131+1)</f>
        <v>0.3</v>
      </c>
      <c r="R131" s="8">
        <f>INDEX(Hedef!$C$17:$C$21,Kanit!R131+1)</f>
        <v>0.3</v>
      </c>
      <c r="S131" s="8">
        <f>INDEX(Hedef!$C$17:$C$21,Kanit!S131+1)</f>
        <v>0.3</v>
      </c>
      <c r="T131" s="8">
        <f>INDEX(Hedef!$C$17:$C$21,Kanit!T131+1)</f>
        <v>0.3</v>
      </c>
      <c r="U131" s="8">
        <f>INDEX(Hedef!$C$17:$C$21,Kanit!U131+1)</f>
        <v>0.3</v>
      </c>
      <c r="V131" s="8">
        <f>INDEX(Hedef!$C$17:$C$21,Kanit!V131+1)</f>
        <v>0.3</v>
      </c>
      <c r="W131" s="8">
        <f>INDEX(Hedef!$C$17:$C$21,Kanit!W131+1)</f>
        <v>0.3</v>
      </c>
      <c r="X131" s="8">
        <f>INDEX(Hedef!$C$17:$C$21,Kanit!X131+1)</f>
        <v>0.3</v>
      </c>
      <c r="Y131" s="8">
        <f>INDEX(Hedef!$C$17:$C$21,Kanit!Y131+1)</f>
        <v>0.5</v>
      </c>
      <c r="Z131" s="8">
        <f>INDEX(Hedef!$C$17:$C$21,Kanit!Z131+1)</f>
        <v>0.3</v>
      </c>
      <c r="AA131" s="8">
        <f>INDEX(Hedef!$C$17:$C$21,Kanit!AA131+1)</f>
        <v>0.3</v>
      </c>
      <c r="AB131" s="8">
        <f>INDEX(Hedef!$C$17:$C$21,Kanit!AB131+1)</f>
        <v>0.3</v>
      </c>
      <c r="AD131" s="8">
        <f>INDEX(Hedef!$C$17:$C$21,Kanit!AD131+1)</f>
        <v>0.3</v>
      </c>
      <c r="AE131" s="8">
        <f>INDEX(Hedef!$C$17:$C$21,Kanit!AE131+1)</f>
        <v>0.5</v>
      </c>
      <c r="AF131" s="8">
        <f>INDEX(Hedef!$C$17:$C$21,Kanit!AF131+1)</f>
        <v>0.3</v>
      </c>
      <c r="AG131" s="8">
        <f>INDEX(Hedef!$C$17:$C$21,Kanit!AG131+1)</f>
        <v>0.3</v>
      </c>
    </row>
    <row r="132">
      <c r="A132" s="7" t="str">
        <f>Secenekler!A132</f>
        <v>egitim-demolari-a</v>
      </c>
      <c r="B132" s="7" t="str">
        <f>Secenekler!C132</f>
        <v>Tek kazanımlı ders paketi (rehber ve cevap anahtarı)</v>
      </c>
      <c r="C132" s="8">
        <f>INDEX(Hedef!$C$17:$C$21,Kanit!C132+1)</f>
        <v>0.3</v>
      </c>
      <c r="D132" s="8">
        <f>INDEX(Hedef!$C$17:$C$21,Kanit!D132+1)</f>
        <v>0.3</v>
      </c>
      <c r="E132" s="8">
        <f>INDEX(Hedef!$C$17:$C$21,Kanit!E132+1)</f>
        <v>0.3</v>
      </c>
      <c r="F132" s="8">
        <f>INDEX(Hedef!$C$17:$C$21,Kanit!F132+1)</f>
        <v>0.3</v>
      </c>
      <c r="G132" s="8">
        <f>INDEX(Hedef!$C$17:$C$21,Kanit!G132+1)</f>
        <v>0.3</v>
      </c>
      <c r="H132" s="8">
        <f>INDEX(Hedef!$C$17:$C$21,Kanit!H132+1)</f>
        <v>0.3</v>
      </c>
      <c r="I132" s="8">
        <f>INDEX(Hedef!$C$17:$C$21,Kanit!I132+1)</f>
        <v>0.3</v>
      </c>
      <c r="J132" s="8">
        <f>INDEX(Hedef!$C$17:$C$21,Kanit!J132+1)</f>
        <v>0.3</v>
      </c>
      <c r="K132" s="8">
        <f>INDEX(Hedef!$C$17:$C$21,Kanit!K132+1)</f>
        <v>0.3</v>
      </c>
      <c r="L132" s="8">
        <f>INDEX(Hedef!$C$17:$C$21,Kanit!L132+1)</f>
        <v>0.3</v>
      </c>
      <c r="M132" s="8">
        <f>INDEX(Hedef!$C$17:$C$21,Kanit!M132+1)</f>
        <v>0.3</v>
      </c>
      <c r="N132" s="8">
        <f>INDEX(Hedef!$C$17:$C$21,Kanit!N132+1)</f>
        <v>0.3</v>
      </c>
      <c r="O132" s="8">
        <f>INDEX(Hedef!$C$17:$C$21,Kanit!O132+1)</f>
        <v>0.3</v>
      </c>
      <c r="P132" s="8">
        <f>INDEX(Hedef!$C$17:$C$21,Kanit!P132+1)</f>
        <v>0.3</v>
      </c>
      <c r="Q132" s="8">
        <f>INDEX(Hedef!$C$17:$C$21,Kanit!Q132+1)</f>
        <v>0.3</v>
      </c>
      <c r="R132" s="8">
        <f>INDEX(Hedef!$C$17:$C$21,Kanit!R132+1)</f>
        <v>0.3</v>
      </c>
      <c r="S132" s="8">
        <f>INDEX(Hedef!$C$17:$C$21,Kanit!S132+1)</f>
        <v>0.3</v>
      </c>
      <c r="T132" s="8">
        <f>INDEX(Hedef!$C$17:$C$21,Kanit!T132+1)</f>
        <v>0.3</v>
      </c>
      <c r="U132" s="8">
        <f>INDEX(Hedef!$C$17:$C$21,Kanit!U132+1)</f>
        <v>0.3</v>
      </c>
      <c r="V132" s="8">
        <f>INDEX(Hedef!$C$17:$C$21,Kanit!V132+1)</f>
        <v>0.3</v>
      </c>
      <c r="W132" s="8">
        <f>INDEX(Hedef!$C$17:$C$21,Kanit!W132+1)</f>
        <v>0.3</v>
      </c>
      <c r="X132" s="8">
        <f>INDEX(Hedef!$C$17:$C$21,Kanit!X132+1)</f>
        <v>0.3</v>
      </c>
      <c r="Y132" s="8">
        <f>INDEX(Hedef!$C$17:$C$21,Kanit!Y132+1)</f>
        <v>0.3</v>
      </c>
      <c r="Z132" s="8">
        <f>INDEX(Hedef!$C$17:$C$21,Kanit!Z132+1)</f>
        <v>0.3</v>
      </c>
      <c r="AA132" s="8">
        <f>INDEX(Hedef!$C$17:$C$21,Kanit!AA132+1)</f>
        <v>0.3</v>
      </c>
      <c r="AB132" s="8">
        <f>INDEX(Hedef!$C$17:$C$21,Kanit!AB132+1)</f>
        <v>0.3</v>
      </c>
      <c r="AD132" s="8">
        <f>INDEX(Hedef!$C$17:$C$21,Kanit!AD132+1)</f>
        <v>0.3</v>
      </c>
      <c r="AE132" s="8">
        <f>INDEX(Hedef!$C$17:$C$21,Kanit!AE132+1)</f>
        <v>0.3</v>
      </c>
      <c r="AF132" s="8">
        <f>INDEX(Hedef!$C$17:$C$21,Kanit!AF132+1)</f>
        <v>0.3</v>
      </c>
      <c r="AG132" s="8">
        <f>INDEX(Hedef!$C$17:$C$21,Kanit!AG132+1)</f>
        <v>0.3</v>
      </c>
    </row>
    <row r="133">
      <c r="A133" s="7" t="str">
        <f>Secenekler!A133</f>
        <v>egitim-demolari-b</v>
      </c>
      <c r="B133" s="7" t="str">
        <f>Secenekler!C133</f>
        <v>Ekip atölyesi: prensipleri kendi işine uyarlama</v>
      </c>
      <c r="C133" s="8">
        <f>INDEX(Hedef!$C$17:$C$21,Kanit!C133+1)</f>
        <v>0.3</v>
      </c>
      <c r="D133" s="8">
        <f>INDEX(Hedef!$C$17:$C$21,Kanit!D133+1)</f>
        <v>0.3</v>
      </c>
      <c r="E133" s="8">
        <f>INDEX(Hedef!$C$17:$C$21,Kanit!E133+1)</f>
        <v>0.3</v>
      </c>
      <c r="F133" s="8">
        <f>INDEX(Hedef!$C$17:$C$21,Kanit!F133+1)</f>
        <v>0.3</v>
      </c>
      <c r="G133" s="8">
        <f>INDEX(Hedef!$C$17:$C$21,Kanit!G133+1)</f>
        <v>0.3</v>
      </c>
      <c r="H133" s="8">
        <f>INDEX(Hedef!$C$17:$C$21,Kanit!H133+1)</f>
        <v>0.3</v>
      </c>
      <c r="I133" s="8">
        <f>INDEX(Hedef!$C$17:$C$21,Kanit!I133+1)</f>
        <v>0.3</v>
      </c>
      <c r="J133" s="8">
        <f>INDEX(Hedef!$C$17:$C$21,Kanit!J133+1)</f>
        <v>0.3</v>
      </c>
      <c r="K133" s="8">
        <f>INDEX(Hedef!$C$17:$C$21,Kanit!K133+1)</f>
        <v>0.3</v>
      </c>
      <c r="L133" s="8">
        <f>INDEX(Hedef!$C$17:$C$21,Kanit!L133+1)</f>
        <v>0.3</v>
      </c>
      <c r="M133" s="8">
        <f>INDEX(Hedef!$C$17:$C$21,Kanit!M133+1)</f>
        <v>0.3</v>
      </c>
      <c r="N133" s="8">
        <f>INDEX(Hedef!$C$17:$C$21,Kanit!N133+1)</f>
        <v>0.3</v>
      </c>
      <c r="O133" s="8">
        <f>INDEX(Hedef!$C$17:$C$21,Kanit!O133+1)</f>
        <v>0.3</v>
      </c>
      <c r="P133" s="8">
        <f>INDEX(Hedef!$C$17:$C$21,Kanit!P133+1)</f>
        <v>0.3</v>
      </c>
      <c r="Q133" s="8">
        <f>INDEX(Hedef!$C$17:$C$21,Kanit!Q133+1)</f>
        <v>0.3</v>
      </c>
      <c r="R133" s="8">
        <f>INDEX(Hedef!$C$17:$C$21,Kanit!R133+1)</f>
        <v>0.3</v>
      </c>
      <c r="S133" s="8">
        <f>INDEX(Hedef!$C$17:$C$21,Kanit!S133+1)</f>
        <v>0.3</v>
      </c>
      <c r="T133" s="8">
        <f>INDEX(Hedef!$C$17:$C$21,Kanit!T133+1)</f>
        <v>0.3</v>
      </c>
      <c r="U133" s="8">
        <f>INDEX(Hedef!$C$17:$C$21,Kanit!U133+1)</f>
        <v>0.3</v>
      </c>
      <c r="V133" s="8">
        <f>INDEX(Hedef!$C$17:$C$21,Kanit!V133+1)</f>
        <v>0.3</v>
      </c>
      <c r="W133" s="8">
        <f>INDEX(Hedef!$C$17:$C$21,Kanit!W133+1)</f>
        <v>0.3</v>
      </c>
      <c r="X133" s="8">
        <f>INDEX(Hedef!$C$17:$C$21,Kanit!X133+1)</f>
        <v>0.3</v>
      </c>
      <c r="Y133" s="8">
        <f>INDEX(Hedef!$C$17:$C$21,Kanit!Y133+1)</f>
        <v>0.3</v>
      </c>
      <c r="Z133" s="8">
        <f>INDEX(Hedef!$C$17:$C$21,Kanit!Z133+1)</f>
        <v>0.3</v>
      </c>
      <c r="AA133" s="8">
        <f>INDEX(Hedef!$C$17:$C$21,Kanit!AA133+1)</f>
        <v>0.3</v>
      </c>
      <c r="AB133" s="8">
        <f>INDEX(Hedef!$C$17:$C$21,Kanit!AB133+1)</f>
        <v>0.3</v>
      </c>
      <c r="AD133" s="8">
        <f>INDEX(Hedef!$C$17:$C$21,Kanit!AD133+1)</f>
        <v>0.3</v>
      </c>
      <c r="AE133" s="8">
        <f>INDEX(Hedef!$C$17:$C$21,Kanit!AE133+1)</f>
        <v>0.3</v>
      </c>
      <c r="AF133" s="8">
        <f>INDEX(Hedef!$C$17:$C$21,Kanit!AF133+1)</f>
        <v>0.3</v>
      </c>
      <c r="AG133" s="8">
        <f>INDEX(Hedef!$C$17:$C$21,Kanit!AG133+1)</f>
        <v>0.3</v>
      </c>
    </row>
    <row r="134">
      <c r="A134" s="7" t="str">
        <f>Secenekler!A134</f>
        <v>baz-secenekler-a</v>
      </c>
      <c r="B134" s="7" t="str">
        <f>Secenekler!C134</f>
        <v>Günlük ücretli danışmanlık ya da yazılım işi (aynı saatlerde)</v>
      </c>
      <c r="C134" s="8">
        <f>INDEX(Hedef!$C$17:$C$21,Kanit!C134+1)</f>
        <v>0.5</v>
      </c>
      <c r="D134" s="8">
        <f>INDEX(Hedef!$C$17:$C$21,Kanit!D134+1)</f>
        <v>0.5</v>
      </c>
      <c r="E134" s="8">
        <f>INDEX(Hedef!$C$17:$C$21,Kanit!E134+1)</f>
        <v>0.7</v>
      </c>
      <c r="F134" s="8">
        <f>INDEX(Hedef!$C$17:$C$21,Kanit!F134+1)</f>
        <v>0.5</v>
      </c>
      <c r="G134" s="8">
        <f>INDEX(Hedef!$C$17:$C$21,Kanit!G134+1)</f>
        <v>0.5</v>
      </c>
      <c r="H134" s="8">
        <f>INDEX(Hedef!$C$17:$C$21,Kanit!H134+1)</f>
        <v>0.5</v>
      </c>
      <c r="I134" s="8">
        <f>INDEX(Hedef!$C$17:$C$21,Kanit!I134+1)</f>
        <v>0.7</v>
      </c>
      <c r="J134" s="8">
        <f>INDEX(Hedef!$C$17:$C$21,Kanit!J134+1)</f>
        <v>0.3</v>
      </c>
      <c r="K134" s="8">
        <f>INDEX(Hedef!$C$17:$C$21,Kanit!K134+1)</f>
        <v>0.3</v>
      </c>
      <c r="L134" s="8">
        <f>INDEX(Hedef!$C$17:$C$21,Kanit!L134+1)</f>
        <v>0.3</v>
      </c>
      <c r="M134" s="8">
        <f>INDEX(Hedef!$C$17:$C$21,Kanit!M134+1)</f>
        <v>0.3</v>
      </c>
      <c r="N134" s="8">
        <f>INDEX(Hedef!$C$17:$C$21,Kanit!N134+1)</f>
        <v>0.5</v>
      </c>
      <c r="O134" s="8">
        <f>INDEX(Hedef!$C$17:$C$21,Kanit!O134+1)</f>
        <v>0.3</v>
      </c>
      <c r="P134" s="8">
        <f>INDEX(Hedef!$C$17:$C$21,Kanit!P134+1)</f>
        <v>0.5</v>
      </c>
      <c r="Q134" s="8">
        <f>INDEX(Hedef!$C$17:$C$21,Kanit!Q134+1)</f>
        <v>0.3</v>
      </c>
      <c r="R134" s="8">
        <f>INDEX(Hedef!$C$17:$C$21,Kanit!R134+1)</f>
        <v>0.3</v>
      </c>
      <c r="S134" s="8">
        <f>INDEX(Hedef!$C$17:$C$21,Kanit!S134+1)</f>
        <v>0.5</v>
      </c>
      <c r="T134" s="8">
        <f>INDEX(Hedef!$C$17:$C$21,Kanit!T134+1)</f>
        <v>0.3</v>
      </c>
      <c r="U134" s="8">
        <f>INDEX(Hedef!$C$17:$C$21,Kanit!U134+1)</f>
        <v>0.3</v>
      </c>
      <c r="V134" s="8">
        <f>INDEX(Hedef!$C$17:$C$21,Kanit!V134+1)</f>
        <v>0.3</v>
      </c>
      <c r="W134" s="8">
        <f>INDEX(Hedef!$C$17:$C$21,Kanit!W134+1)</f>
        <v>0.3</v>
      </c>
      <c r="X134" s="8">
        <f>INDEX(Hedef!$C$17:$C$21,Kanit!X134+1)</f>
        <v>0.7</v>
      </c>
      <c r="Y134" s="8">
        <f>INDEX(Hedef!$C$17:$C$21,Kanit!Y134+1)</f>
        <v>0.5</v>
      </c>
      <c r="Z134" s="8">
        <f>INDEX(Hedef!$C$17:$C$21,Kanit!Z134+1)</f>
        <v>0.3</v>
      </c>
      <c r="AA134" s="8">
        <f>INDEX(Hedef!$C$17:$C$21,Kanit!AA134+1)</f>
        <v>0.3</v>
      </c>
      <c r="AB134" s="8">
        <f>INDEX(Hedef!$C$17:$C$21,Kanit!AB134+1)</f>
        <v>0.3</v>
      </c>
      <c r="AD134" s="8">
        <f>INDEX(Hedef!$C$17:$C$21,Kanit!AD134+1)</f>
        <v>0.5</v>
      </c>
      <c r="AE134" s="8">
        <f>INDEX(Hedef!$C$17:$C$21,Kanit!AE134+1)</f>
        <v>0.3</v>
      </c>
      <c r="AF134" s="8">
        <f>INDEX(Hedef!$C$17:$C$21,Kanit!AF134+1)</f>
        <v>0.5</v>
      </c>
      <c r="AG134" s="8">
        <f>INDEX(Hedef!$C$17:$C$21,Kanit!AG134+1)</f>
        <v>0.5</v>
      </c>
    </row>
    <row r="135">
      <c r="A135" s="7" t="str">
        <f>Secenekler!A135</f>
        <v>baz-secenekler-b</v>
      </c>
      <c r="B135" s="7" t="str">
        <f>Secenekler!C135</f>
        <v>Mevcut Django kod tabanının ajanslara kurulumlu satışı</v>
      </c>
      <c r="C135" s="8">
        <f>INDEX(Hedef!$C$17:$C$21,Kanit!C135+1)</f>
        <v>0.5</v>
      </c>
      <c r="D135" s="8">
        <f>INDEX(Hedef!$C$17:$C$21,Kanit!D135+1)</f>
        <v>0.3</v>
      </c>
      <c r="E135" s="8">
        <f>INDEX(Hedef!$C$17:$C$21,Kanit!E135+1)</f>
        <v>0.5</v>
      </c>
      <c r="F135" s="8">
        <f>INDEX(Hedef!$C$17:$C$21,Kanit!F135+1)</f>
        <v>0.5</v>
      </c>
      <c r="G135" s="8">
        <f>INDEX(Hedef!$C$17:$C$21,Kanit!G135+1)</f>
        <v>0.3</v>
      </c>
      <c r="H135" s="8">
        <f>INDEX(Hedef!$C$17:$C$21,Kanit!H135+1)</f>
        <v>0.5</v>
      </c>
      <c r="I135" s="8">
        <f>INDEX(Hedef!$C$17:$C$21,Kanit!I135+1)</f>
        <v>0.3</v>
      </c>
      <c r="J135" s="8">
        <f>INDEX(Hedef!$C$17:$C$21,Kanit!J135+1)</f>
        <v>0.5</v>
      </c>
      <c r="K135" s="8">
        <f>INDEX(Hedef!$C$17:$C$21,Kanit!K135+1)</f>
        <v>0.3</v>
      </c>
      <c r="L135" s="8">
        <f>INDEX(Hedef!$C$17:$C$21,Kanit!L135+1)</f>
        <v>0.3</v>
      </c>
      <c r="M135" s="8">
        <f>INDEX(Hedef!$C$17:$C$21,Kanit!M135+1)</f>
        <v>0.3</v>
      </c>
      <c r="N135" s="8">
        <f>INDEX(Hedef!$C$17:$C$21,Kanit!N135+1)</f>
        <v>0.3</v>
      </c>
      <c r="O135" s="8">
        <f>INDEX(Hedef!$C$17:$C$21,Kanit!O135+1)</f>
        <v>0.3</v>
      </c>
      <c r="P135" s="8">
        <f>INDEX(Hedef!$C$17:$C$21,Kanit!P135+1)</f>
        <v>0.5</v>
      </c>
      <c r="Q135" s="8">
        <f>INDEX(Hedef!$C$17:$C$21,Kanit!Q135+1)</f>
        <v>0.3</v>
      </c>
      <c r="R135" s="8">
        <f>INDEX(Hedef!$C$17:$C$21,Kanit!R135+1)</f>
        <v>0.3</v>
      </c>
      <c r="S135" s="8">
        <f>INDEX(Hedef!$C$17:$C$21,Kanit!S135+1)</f>
        <v>0.3</v>
      </c>
      <c r="T135" s="8">
        <f>INDEX(Hedef!$C$17:$C$21,Kanit!T135+1)</f>
        <v>0.3</v>
      </c>
      <c r="U135" s="8">
        <f>INDEX(Hedef!$C$17:$C$21,Kanit!U135+1)</f>
        <v>0.3</v>
      </c>
      <c r="V135" s="8">
        <f>INDEX(Hedef!$C$17:$C$21,Kanit!V135+1)</f>
        <v>0.3</v>
      </c>
      <c r="W135" s="8">
        <f>INDEX(Hedef!$C$17:$C$21,Kanit!W135+1)</f>
        <v>0.3</v>
      </c>
      <c r="X135" s="8">
        <f>INDEX(Hedef!$C$17:$C$21,Kanit!X135+1)</f>
        <v>0.5</v>
      </c>
      <c r="Y135" s="8">
        <f>INDEX(Hedef!$C$17:$C$21,Kanit!Y135+1)</f>
        <v>0.5</v>
      </c>
      <c r="Z135" s="8">
        <f>INDEX(Hedef!$C$17:$C$21,Kanit!Z135+1)</f>
        <v>0.3</v>
      </c>
      <c r="AA135" s="8">
        <f>INDEX(Hedef!$C$17:$C$21,Kanit!AA135+1)</f>
        <v>0.3</v>
      </c>
      <c r="AB135" s="8">
        <f>INDEX(Hedef!$C$17:$C$21,Kanit!AB135+1)</f>
        <v>0.3</v>
      </c>
      <c r="AD135" s="8">
        <f>INDEX(Hedef!$C$17:$C$21,Kanit!AD135+1)</f>
        <v>0.5</v>
      </c>
      <c r="AE135" s="8">
        <f>INDEX(Hedef!$C$17:$C$21,Kanit!AE135+1)</f>
        <v>0.5</v>
      </c>
      <c r="AF135" s="8">
        <f>INDEX(Hedef!$C$17:$C$21,Kanit!AF135+1)</f>
        <v>0.3</v>
      </c>
      <c r="AG135" s="8">
        <f>INDEX(Hedef!$C$17:$C$21,Kanit!AG135+1)</f>
        <v>0.3</v>
      </c>
    </row>
    <row r="136">
      <c r="A136" s="7" t="str">
        <f>Secenekler!A136</f>
        <v>baz-secenekler-c</v>
      </c>
      <c r="B136" s="7" t="str">
        <f>Secenekler!C136</f>
        <v>Kamu destek programı başvurusu: TÜBİTAK 1812 ön tohum yatırımı</v>
      </c>
      <c r="C136" s="8">
        <f>INDEX(Hedef!$C$17:$C$21,Kanit!C136+1)</f>
        <v>0.5</v>
      </c>
      <c r="D136" s="8">
        <f>INDEX(Hedef!$C$17:$C$21,Kanit!D136+1)</f>
        <v>0.5</v>
      </c>
      <c r="E136" s="8">
        <f>INDEX(Hedef!$C$17:$C$21,Kanit!E136+1)</f>
        <v>0.5</v>
      </c>
      <c r="F136" s="8">
        <f>INDEX(Hedef!$C$17:$C$21,Kanit!F136+1)</f>
        <v>0.5</v>
      </c>
      <c r="G136" s="8">
        <f>INDEX(Hedef!$C$17:$C$21,Kanit!G136+1)</f>
        <v>0.5</v>
      </c>
      <c r="H136" s="8">
        <f>INDEX(Hedef!$C$17:$C$21,Kanit!H136+1)</f>
        <v>0.5</v>
      </c>
      <c r="I136" s="8">
        <f>INDEX(Hedef!$C$17:$C$21,Kanit!I136+1)</f>
        <v>0.3</v>
      </c>
      <c r="J136" s="8">
        <f>INDEX(Hedef!$C$17:$C$21,Kanit!J136+1)</f>
        <v>0.5</v>
      </c>
      <c r="K136" s="8">
        <f>INDEX(Hedef!$C$17:$C$21,Kanit!K136+1)</f>
        <v>0.3</v>
      </c>
      <c r="L136" s="8">
        <f>INDEX(Hedef!$C$17:$C$21,Kanit!L136+1)</f>
        <v>0.3</v>
      </c>
      <c r="M136" s="8">
        <f>INDEX(Hedef!$C$17:$C$21,Kanit!M136+1)</f>
        <v>0.5</v>
      </c>
      <c r="N136" s="8">
        <f>INDEX(Hedef!$C$17:$C$21,Kanit!N136+1)</f>
        <v>0.5</v>
      </c>
      <c r="O136" s="8">
        <f>INDEX(Hedef!$C$17:$C$21,Kanit!O136+1)</f>
        <v>0.5</v>
      </c>
      <c r="P136" s="8">
        <f>INDEX(Hedef!$C$17:$C$21,Kanit!P136+1)</f>
        <v>0.3</v>
      </c>
      <c r="Q136" s="8">
        <f>INDEX(Hedef!$C$17:$C$21,Kanit!Q136+1)</f>
        <v>0.5</v>
      </c>
      <c r="R136" s="8">
        <f>INDEX(Hedef!$C$17:$C$21,Kanit!R136+1)</f>
        <v>0.5</v>
      </c>
      <c r="S136" s="8">
        <f>INDEX(Hedef!$C$17:$C$21,Kanit!S136+1)</f>
        <v>0.3</v>
      </c>
      <c r="T136" s="8">
        <f>INDEX(Hedef!$C$17:$C$21,Kanit!T136+1)</f>
        <v>0.5</v>
      </c>
      <c r="U136" s="8">
        <f>INDEX(Hedef!$C$17:$C$21,Kanit!U136+1)</f>
        <v>0.3</v>
      </c>
      <c r="V136" s="8">
        <f>INDEX(Hedef!$C$17:$C$21,Kanit!V136+1)</f>
        <v>0.5</v>
      </c>
      <c r="W136" s="8">
        <f>INDEX(Hedef!$C$17:$C$21,Kanit!W136+1)</f>
        <v>0.5</v>
      </c>
      <c r="X136" s="8">
        <f>INDEX(Hedef!$C$17:$C$21,Kanit!X136+1)</f>
        <v>0.3</v>
      </c>
      <c r="Y136" s="8">
        <f>INDEX(Hedef!$C$17:$C$21,Kanit!Y136+1)</f>
        <v>0.5</v>
      </c>
      <c r="Z136" s="8">
        <f>INDEX(Hedef!$C$17:$C$21,Kanit!Z136+1)</f>
        <v>0.5</v>
      </c>
      <c r="AA136" s="8">
        <f>INDEX(Hedef!$C$17:$C$21,Kanit!AA136+1)</f>
        <v>0.5</v>
      </c>
      <c r="AB136" s="8">
        <f>INDEX(Hedef!$C$17:$C$21,Kanit!AB136+1)</f>
        <v>0.5</v>
      </c>
      <c r="AD136" s="8">
        <f>INDEX(Hedef!$C$17:$C$21,Kanit!AD136+1)</f>
        <v>0.5</v>
      </c>
      <c r="AE136" s="8">
        <f>INDEX(Hedef!$C$17:$C$21,Kanit!AE136+1)</f>
        <v>0.5</v>
      </c>
      <c r="AF136" s="8">
        <f>INDEX(Hedef!$C$17:$C$21,Kanit!AF136+1)</f>
        <v>0.5</v>
      </c>
      <c r="AG136" s="8">
        <f>INDEX(Hedef!$C$17:$C$21,Kanit!AG136+1)</f>
        <v>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bpclaude</dc:creator>
  <dc:title xmlns:dc="http://purl.org/dc/elements/1.1/">bpclaude seçim şablonu</dc:title>
  <dcterms:created xmlns:dcterms="http://purl.org/dc/terms/" xmlns:xsi="http://www.w3.org/2001/XMLSchema-instance" xsi:type="dcterms:W3CDTF">2026-10-02T07:48:18Z</dcterms:created>
  <dcterms:modified xmlns:dcterms="http://purl.org/dc/terms/" xmlns:xsi="http://www.w3.org/2001/XMLSchema-instance" xsi:type="dcterms:W3CDTF">2026-10-02T07:48:18Z</dcterms:modified>
  <cp:lastModifiedBy>bpclaude</cp:lastModifiedBy>
</cp:coreProperties>
</file>